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" yWindow="60" windowWidth="12420" windowHeight="9792" activeTab="3"/>
  </bookViews>
  <sheets>
    <sheet name="Shot Analysis" sheetId="3" r:id="rId1"/>
    <sheet name="Chronograph Analysis" sheetId="2" r:id="rId2"/>
    <sheet name="Adjusted Shot Analysis" sheetId="1" r:id="rId3"/>
    <sheet name="Adjusted Target" sheetId="4" r:id="rId4"/>
  </sheets>
  <calcPr calcId="145621"/>
</workbook>
</file>

<file path=xl/calcChain.xml><?xml version="1.0" encoding="utf-8"?>
<calcChain xmlns="http://schemas.openxmlformats.org/spreadsheetml/2006/main">
  <c r="M14" i="1" l="1"/>
  <c r="K14" i="1"/>
  <c r="L11" i="3"/>
  <c r="L11" i="1"/>
  <c r="S4" i="1" l="1"/>
  <c r="S5" i="1" s="1"/>
  <c r="S2" i="1"/>
  <c r="S3" i="1" s="1"/>
  <c r="F5" i="2"/>
  <c r="F4" i="2"/>
  <c r="F3" i="2"/>
  <c r="F2" i="2"/>
  <c r="J14" i="3"/>
  <c r="M8" i="3"/>
  <c r="K5" i="3"/>
  <c r="J5" i="3"/>
  <c r="K4" i="3"/>
  <c r="J4" i="3"/>
  <c r="K3" i="3"/>
  <c r="J3" i="3"/>
  <c r="J9" i="3" s="1"/>
  <c r="K2" i="3"/>
  <c r="E24" i="3" s="1"/>
  <c r="F24" i="3" s="1"/>
  <c r="J2" i="3"/>
  <c r="Q3" i="1" l="1"/>
  <c r="D3" i="1" s="1"/>
  <c r="Q7" i="1"/>
  <c r="D7" i="1" s="1"/>
  <c r="Q11" i="1"/>
  <c r="D11" i="1" s="1"/>
  <c r="Q15" i="1"/>
  <c r="D15" i="1" s="1"/>
  <c r="Q19" i="1"/>
  <c r="D19" i="1" s="1"/>
  <c r="Q23" i="1"/>
  <c r="D23" i="1" s="1"/>
  <c r="Q27" i="1"/>
  <c r="D27" i="1" s="1"/>
  <c r="Q31" i="1"/>
  <c r="D31" i="1" s="1"/>
  <c r="Q39" i="1"/>
  <c r="D39" i="1" s="1"/>
  <c r="Q12" i="1"/>
  <c r="D12" i="1" s="1"/>
  <c r="Q20" i="1"/>
  <c r="D20" i="1" s="1"/>
  <c r="Q28" i="1"/>
  <c r="D28" i="1" s="1"/>
  <c r="Q36" i="1"/>
  <c r="D36" i="1" s="1"/>
  <c r="Q5" i="1"/>
  <c r="D5" i="1" s="1"/>
  <c r="Q9" i="1"/>
  <c r="D9" i="1" s="1"/>
  <c r="Q13" i="1"/>
  <c r="D13" i="1" s="1"/>
  <c r="Q17" i="1"/>
  <c r="D17" i="1" s="1"/>
  <c r="Q21" i="1"/>
  <c r="D21" i="1" s="1"/>
  <c r="Q29" i="1"/>
  <c r="D29" i="1" s="1"/>
  <c r="Q33" i="1"/>
  <c r="D33" i="1" s="1"/>
  <c r="Q41" i="1"/>
  <c r="D41" i="1" s="1"/>
  <c r="Q6" i="1"/>
  <c r="D6" i="1" s="1"/>
  <c r="Q10" i="1"/>
  <c r="D10" i="1" s="1"/>
  <c r="Q14" i="1"/>
  <c r="D14" i="1" s="1"/>
  <c r="Q18" i="1"/>
  <c r="D18" i="1" s="1"/>
  <c r="Q22" i="1"/>
  <c r="D22" i="1" s="1"/>
  <c r="Q26" i="1"/>
  <c r="D26" i="1" s="1"/>
  <c r="Q30" i="1"/>
  <c r="D30" i="1" s="1"/>
  <c r="Q34" i="1"/>
  <c r="D34" i="1" s="1"/>
  <c r="Q38" i="1"/>
  <c r="D38" i="1" s="1"/>
  <c r="Q2" i="1"/>
  <c r="Q35" i="1"/>
  <c r="D35" i="1" s="1"/>
  <c r="Q4" i="1"/>
  <c r="D4" i="1" s="1"/>
  <c r="Q8" i="1"/>
  <c r="D8" i="1" s="1"/>
  <c r="Q16" i="1"/>
  <c r="D16" i="1" s="1"/>
  <c r="Q24" i="1"/>
  <c r="D24" i="1" s="1"/>
  <c r="Q32" i="1"/>
  <c r="D32" i="1" s="1"/>
  <c r="Q40" i="1"/>
  <c r="D40" i="1" s="1"/>
  <c r="Q25" i="1"/>
  <c r="D25" i="1" s="1"/>
  <c r="Q37" i="1"/>
  <c r="D37" i="1" s="1"/>
  <c r="G6" i="2"/>
  <c r="G7" i="2" s="1"/>
  <c r="E26" i="3"/>
  <c r="F26" i="3" s="1"/>
  <c r="E10" i="3"/>
  <c r="F10" i="3" s="1"/>
  <c r="E12" i="3"/>
  <c r="F12" i="3" s="1"/>
  <c r="E17" i="3"/>
  <c r="F17" i="3" s="1"/>
  <c r="E21" i="3"/>
  <c r="F21" i="3" s="1"/>
  <c r="E25" i="3"/>
  <c r="F25" i="3" s="1"/>
  <c r="E28" i="3"/>
  <c r="F28" i="3" s="1"/>
  <c r="E30" i="3"/>
  <c r="F30" i="3" s="1"/>
  <c r="E32" i="3"/>
  <c r="F32" i="3" s="1"/>
  <c r="E34" i="3"/>
  <c r="F34" i="3" s="1"/>
  <c r="E36" i="3"/>
  <c r="F36" i="3" s="1"/>
  <c r="E38" i="3"/>
  <c r="F38" i="3" s="1"/>
  <c r="E40" i="3"/>
  <c r="F40" i="3" s="1"/>
  <c r="E2" i="3"/>
  <c r="E6" i="3"/>
  <c r="F6" i="3" s="1"/>
  <c r="E15" i="3"/>
  <c r="F15" i="3" s="1"/>
  <c r="E20" i="3"/>
  <c r="F20" i="3" s="1"/>
  <c r="E3" i="3"/>
  <c r="F3" i="3" s="1"/>
  <c r="E7" i="3"/>
  <c r="F7" i="3" s="1"/>
  <c r="E8" i="3"/>
  <c r="F8" i="3" s="1"/>
  <c r="E19" i="3"/>
  <c r="F19" i="3" s="1"/>
  <c r="E23" i="3"/>
  <c r="F23" i="3" s="1"/>
  <c r="E27" i="3"/>
  <c r="F27" i="3" s="1"/>
  <c r="E29" i="3"/>
  <c r="F29" i="3" s="1"/>
  <c r="E31" i="3"/>
  <c r="F31" i="3" s="1"/>
  <c r="E33" i="3"/>
  <c r="F33" i="3" s="1"/>
  <c r="E35" i="3"/>
  <c r="F35" i="3" s="1"/>
  <c r="E37" i="3"/>
  <c r="F37" i="3" s="1"/>
  <c r="E39" i="3"/>
  <c r="F39" i="3" s="1"/>
  <c r="E41" i="3"/>
  <c r="F41" i="3" s="1"/>
  <c r="E5" i="3"/>
  <c r="F5" i="3" s="1"/>
  <c r="J8" i="3"/>
  <c r="E13" i="3"/>
  <c r="F13" i="3" s="1"/>
  <c r="E16" i="3"/>
  <c r="F16" i="3" s="1"/>
  <c r="E4" i="3"/>
  <c r="F4" i="3" s="1"/>
  <c r="E9" i="3"/>
  <c r="F9" i="3" s="1"/>
  <c r="E11" i="3"/>
  <c r="F11" i="3" s="1"/>
  <c r="E14" i="3"/>
  <c r="F14" i="3" s="1"/>
  <c r="E18" i="3"/>
  <c r="F18" i="3" s="1"/>
  <c r="E22" i="3"/>
  <c r="F22" i="3" s="1"/>
  <c r="M8" i="1"/>
  <c r="C25" i="2" l="1"/>
  <c r="C10" i="2"/>
  <c r="C8" i="2"/>
  <c r="C6" i="2"/>
  <c r="C21" i="2"/>
  <c r="C14" i="2"/>
  <c r="C22" i="2"/>
  <c r="C17" i="2"/>
  <c r="C3" i="2"/>
  <c r="C2" i="2"/>
  <c r="C5" i="2"/>
  <c r="C13" i="2"/>
  <c r="C23" i="2"/>
  <c r="C15" i="2"/>
  <c r="F2" i="3"/>
  <c r="J11" i="3"/>
  <c r="C26" i="2"/>
  <c r="C18" i="2"/>
  <c r="C7" i="2"/>
  <c r="C19" i="2"/>
  <c r="C24" i="2"/>
  <c r="C20" i="2"/>
  <c r="C16" i="2"/>
  <c r="C12" i="2"/>
  <c r="C11" i="2"/>
  <c r="C9" i="2"/>
  <c r="C4" i="2"/>
  <c r="J5" i="1"/>
  <c r="J4" i="1"/>
  <c r="J3" i="1"/>
  <c r="J2" i="1"/>
  <c r="G9" i="2" l="1"/>
  <c r="J12" i="3"/>
  <c r="L14" i="3" l="1"/>
  <c r="L15" i="3" s="1"/>
  <c r="K14" i="3"/>
  <c r="J15" i="3"/>
  <c r="K15" i="3"/>
  <c r="M15" i="3" l="1"/>
  <c r="L17" i="3"/>
  <c r="L19" i="3" s="1"/>
  <c r="L18" i="3"/>
  <c r="L16" i="3"/>
  <c r="K18" i="3"/>
  <c r="K17" i="3"/>
  <c r="K19" i="3" s="1"/>
  <c r="K16" i="3"/>
  <c r="J17" i="3"/>
  <c r="H15" i="3"/>
  <c r="J16" i="3"/>
  <c r="H16" i="3" s="1"/>
  <c r="J18" i="3"/>
  <c r="H18" i="3" s="1"/>
  <c r="J19" i="3" l="1"/>
  <c r="H19" i="3" s="1"/>
  <c r="H17" i="3"/>
  <c r="D2" i="1" l="1"/>
  <c r="K5" i="1" s="1"/>
  <c r="J14" i="1" l="1"/>
  <c r="K4" i="1"/>
  <c r="K3" i="1"/>
  <c r="K2" i="1"/>
  <c r="E6" i="1" l="1"/>
  <c r="F6" i="1" s="1"/>
  <c r="E15" i="1"/>
  <c r="F15" i="1" s="1"/>
  <c r="E24" i="1"/>
  <c r="F24" i="1" s="1"/>
  <c r="E26" i="1"/>
  <c r="F26" i="1" s="1"/>
  <c r="E12" i="1"/>
  <c r="F12" i="1" s="1"/>
  <c r="E22" i="1"/>
  <c r="F22" i="1" s="1"/>
  <c r="E21" i="1"/>
  <c r="F21" i="1" s="1"/>
  <c r="E3" i="1"/>
  <c r="F3" i="1" s="1"/>
  <c r="E16" i="1"/>
  <c r="F16" i="1" s="1"/>
  <c r="E28" i="1"/>
  <c r="F28" i="1" s="1"/>
  <c r="E34" i="1"/>
  <c r="F34" i="1" s="1"/>
  <c r="E14" i="1"/>
  <c r="F14" i="1" s="1"/>
  <c r="E38" i="1"/>
  <c r="F38" i="1" s="1"/>
  <c r="E25" i="1"/>
  <c r="F25" i="1" s="1"/>
  <c r="E18" i="1"/>
  <c r="F18" i="1" s="1"/>
  <c r="E7" i="1"/>
  <c r="F7" i="1" s="1"/>
  <c r="E35" i="1"/>
  <c r="F35" i="1" s="1"/>
  <c r="E27" i="1"/>
  <c r="F27" i="1" s="1"/>
  <c r="E10" i="1"/>
  <c r="F10" i="1" s="1"/>
  <c r="E23" i="1"/>
  <c r="F23" i="1" s="1"/>
  <c r="E37" i="1"/>
  <c r="F37" i="1" s="1"/>
  <c r="E40" i="1"/>
  <c r="F40" i="1" s="1"/>
  <c r="E4" i="1"/>
  <c r="F4" i="1" s="1"/>
  <c r="E30" i="1"/>
  <c r="F30" i="1" s="1"/>
  <c r="E31" i="1"/>
  <c r="F31" i="1" s="1"/>
  <c r="E32" i="1"/>
  <c r="F32" i="1" s="1"/>
  <c r="E36" i="1"/>
  <c r="F36" i="1" s="1"/>
  <c r="E39" i="1"/>
  <c r="F39" i="1" s="1"/>
  <c r="E29" i="1"/>
  <c r="F29" i="1" s="1"/>
  <c r="E17" i="1"/>
  <c r="F17" i="1" s="1"/>
  <c r="E5" i="1"/>
  <c r="F5" i="1" s="1"/>
  <c r="E20" i="1"/>
  <c r="F20" i="1" s="1"/>
  <c r="E41" i="1"/>
  <c r="F41" i="1" s="1"/>
  <c r="E8" i="1"/>
  <c r="F8" i="1" s="1"/>
  <c r="E19" i="1"/>
  <c r="F19" i="1" s="1"/>
  <c r="E13" i="1"/>
  <c r="F13" i="1" s="1"/>
  <c r="E11" i="1"/>
  <c r="F11" i="1" s="1"/>
  <c r="E33" i="1"/>
  <c r="F33" i="1" s="1"/>
  <c r="E9" i="1"/>
  <c r="F9" i="1" s="1"/>
  <c r="J9" i="1"/>
  <c r="J8" i="1"/>
  <c r="E2" i="1"/>
  <c r="F2" i="1" l="1"/>
  <c r="J11" i="1"/>
  <c r="J12" i="1" l="1"/>
  <c r="K15" i="1" l="1"/>
  <c r="L14" i="1"/>
  <c r="L15" i="1" s="1"/>
  <c r="J15" i="1"/>
  <c r="L16" i="1" l="1"/>
  <c r="L17" i="1"/>
  <c r="L19" i="1" s="1"/>
  <c r="L18" i="1"/>
  <c r="M15" i="1"/>
  <c r="K16" i="1"/>
  <c r="K17" i="1"/>
  <c r="K19" i="1" s="1"/>
  <c r="K18" i="1"/>
  <c r="J18" i="1"/>
  <c r="H18" i="1" s="1"/>
  <c r="J16" i="1"/>
  <c r="H16" i="1" s="1"/>
  <c r="H15" i="1"/>
  <c r="J17" i="1"/>
  <c r="J19" i="1" l="1"/>
  <c r="H19" i="1" s="1"/>
  <c r="H17" i="1"/>
</calcChain>
</file>

<file path=xl/comments1.xml><?xml version="1.0" encoding="utf-8"?>
<comments xmlns="http://schemas.openxmlformats.org/spreadsheetml/2006/main">
  <authors>
    <author>David</author>
  </authors>
  <commentList>
    <comment ref="H4" authorId="0">
      <text>
        <r>
          <rPr>
            <sz val="9"/>
            <color indexed="81"/>
            <rFont val="Tahoma"/>
            <family val="2"/>
          </rPr>
          <t>For level bore, BC = 0.1</t>
        </r>
      </text>
    </comment>
  </commentList>
</comments>
</file>

<file path=xl/sharedStrings.xml><?xml version="1.0" encoding="utf-8"?>
<sst xmlns="http://schemas.openxmlformats.org/spreadsheetml/2006/main" count="72" uniqueCount="40">
  <si>
    <t>X</t>
  </si>
  <si>
    <t>Y</t>
  </si>
  <si>
    <t>Center</t>
  </si>
  <si>
    <t>R</t>
  </si>
  <si>
    <t>Range</t>
  </si>
  <si>
    <t>StDev</t>
  </si>
  <si>
    <t>R^2</t>
  </si>
  <si>
    <t>Shot #</t>
  </si>
  <si>
    <t>Diagonal</t>
  </si>
  <si>
    <t>FoM</t>
  </si>
  <si>
    <t>N</t>
  </si>
  <si>
    <t>cG(2N-1)</t>
  </si>
  <si>
    <t>Variance</t>
  </si>
  <si>
    <t>Sigma</t>
  </si>
  <si>
    <t>S^2</t>
  </si>
  <si>
    <t>Confidence Bounds</t>
  </si>
  <si>
    <t>2(N - 1)</t>
  </si>
  <si>
    <t>CEP</t>
  </si>
  <si>
    <t>MR</t>
  </si>
  <si>
    <t>RSD</t>
  </si>
  <si>
    <t>Width</t>
  </si>
  <si>
    <t>Group #</t>
  </si>
  <si>
    <t>MD</t>
  </si>
  <si>
    <t>Chronograph summary</t>
  </si>
  <si>
    <t>MOA</t>
  </si>
  <si>
    <t>slope</t>
  </si>
  <si>
    <t>intercept</t>
  </si>
  <si>
    <t>Muzzle Velocity (fps)</t>
  </si>
  <si>
    <t>Excess Drop @ 100 yds</t>
  </si>
  <si>
    <t>Avg</t>
  </si>
  <si>
    <t>Max</t>
  </si>
  <si>
    <t>Min</t>
  </si>
  <si>
    <t>Y variance due to muzzle velocity dispersion</t>
  </si>
  <si>
    <t>Inch drop at 100 yards</t>
  </si>
  <si>
    <t>From Ballistics Model</t>
  </si>
  <si>
    <t>Original Y variance</t>
  </si>
  <si>
    <t>Adjusted Y variance</t>
  </si>
  <si>
    <t>Adjusted Y</t>
  </si>
  <si>
    <t>Bessel correction</t>
  </si>
  <si>
    <t>Original 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</si>
</sst>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0.0"/>
    <numFmt numFmtId="166" formatCode="0.0000"/>
  </numFmts>
  <fonts count="25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b/>
      <sz val="10"/>
      <color rgb="FF006100"/>
      <name val="Arial"/>
      <family val="2"/>
    </font>
    <font>
      <sz val="8"/>
      <color theme="1"/>
      <name val="Arial"/>
      <family val="2"/>
    </font>
    <font>
      <i/>
      <sz val="10"/>
      <color theme="1"/>
      <name val="Arial"/>
      <family val="2"/>
    </font>
    <font>
      <sz val="9"/>
      <color indexed="81"/>
      <name val="Tahoma"/>
      <family val="2"/>
    </font>
    <font>
      <b/>
      <sz val="10"/>
      <name val="Arial"/>
      <family val="2"/>
    </font>
    <font>
      <b/>
      <sz val="9"/>
      <color theme="0"/>
      <name val="Arial"/>
      <family val="2"/>
    </font>
    <font>
      <b/>
      <sz val="9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rgb="FF3F3F3F"/>
      </left>
      <right/>
      <top/>
      <bottom/>
      <diagonal/>
    </border>
  </borders>
  <cellStyleXfs count="43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7">
    <xf numFmtId="0" fontId="0" fillId="0" borderId="0" xfId="0"/>
    <xf numFmtId="0" fontId="0" fillId="0" borderId="0" xfId="0" applyAlignment="1">
      <alignment horizontal="right"/>
    </xf>
    <xf numFmtId="0" fontId="9" fillId="5" borderId="4" xfId="10"/>
    <xf numFmtId="0" fontId="11" fillId="6" borderId="4" xfId="12"/>
    <xf numFmtId="0" fontId="0" fillId="0" borderId="0" xfId="0" applyFill="1" applyBorder="1" applyAlignment="1">
      <alignment horizontal="right"/>
    </xf>
    <xf numFmtId="0" fontId="1" fillId="15" borderId="0" xfId="25" applyBorder="1" applyAlignment="1">
      <alignment horizontal="right"/>
    </xf>
    <xf numFmtId="0" fontId="17" fillId="17" borderId="0" xfId="27" applyBorder="1" applyAlignment="1">
      <alignment horizontal="right"/>
    </xf>
    <xf numFmtId="0" fontId="16" fillId="0" borderId="0" xfId="0" applyFont="1" applyAlignment="1">
      <alignment horizontal="center"/>
    </xf>
    <xf numFmtId="0" fontId="17" fillId="21" borderId="0" xfId="31" applyBorder="1" applyAlignment="1">
      <alignment horizontal="right"/>
    </xf>
    <xf numFmtId="2" fontId="17" fillId="17" borderId="0" xfId="27" applyNumberFormat="1"/>
    <xf numFmtId="2" fontId="17" fillId="21" borderId="0" xfId="31" applyNumberFormat="1"/>
    <xf numFmtId="9" fontId="9" fillId="5" borderId="4" xfId="10" applyNumberFormat="1" applyAlignment="1">
      <alignment horizontal="left"/>
    </xf>
    <xf numFmtId="0" fontId="0" fillId="8" borderId="8" xfId="16" applyFont="1"/>
    <xf numFmtId="0" fontId="11" fillId="6" borderId="4" xfId="12" applyAlignment="1">
      <alignment horizontal="left"/>
    </xf>
    <xf numFmtId="164" fontId="11" fillId="6" borderId="4" xfId="12" applyNumberFormat="1" applyAlignment="1">
      <alignment horizontal="left"/>
    </xf>
    <xf numFmtId="0" fontId="17" fillId="13" borderId="0" xfId="23" applyAlignment="1">
      <alignment horizontal="right"/>
    </xf>
    <xf numFmtId="164" fontId="0" fillId="8" borderId="8" xfId="16" applyNumberFormat="1" applyFont="1"/>
    <xf numFmtId="164" fontId="1" fillId="15" borderId="0" xfId="25" applyNumberFormat="1"/>
    <xf numFmtId="164" fontId="13" fillId="13" borderId="0" xfId="23" applyNumberFormat="1" applyFont="1"/>
    <xf numFmtId="164" fontId="17" fillId="13" borderId="0" xfId="23" applyNumberFormat="1"/>
    <xf numFmtId="9" fontId="0" fillId="8" borderId="8" xfId="1" applyFont="1" applyFill="1" applyBorder="1"/>
    <xf numFmtId="2" fontId="6" fillId="2" borderId="0" xfId="7" applyNumberFormat="1" applyAlignment="1">
      <alignment horizontal="left"/>
    </xf>
    <xf numFmtId="0" fontId="18" fillId="2" borderId="0" xfId="7" applyFont="1"/>
    <xf numFmtId="0" fontId="15" fillId="0" borderId="0" xfId="17"/>
    <xf numFmtId="0" fontId="15" fillId="0" borderId="0" xfId="17" applyAlignment="1">
      <alignment horizontal="right"/>
    </xf>
    <xf numFmtId="0" fontId="15" fillId="0" borderId="0" xfId="17" applyAlignment="1">
      <alignment horizontal="left"/>
    </xf>
    <xf numFmtId="0" fontId="15" fillId="0" borderId="0" xfId="17" applyNumberFormat="1"/>
    <xf numFmtId="0" fontId="0" fillId="0" borderId="0" xfId="0" applyBorder="1"/>
    <xf numFmtId="1" fontId="0" fillId="0" borderId="0" xfId="0" applyNumberFormat="1" applyBorder="1"/>
    <xf numFmtId="0" fontId="13" fillId="7" borderId="7" xfId="14" applyNumberFormat="1"/>
    <xf numFmtId="0" fontId="16" fillId="0" borderId="0" xfId="0" applyFont="1" applyAlignment="1">
      <alignment horizontal="right" wrapText="1"/>
    </xf>
    <xf numFmtId="0" fontId="20" fillId="0" borderId="0" xfId="0" applyFont="1" applyAlignment="1">
      <alignment wrapText="1"/>
    </xf>
    <xf numFmtId="1" fontId="11" fillId="6" borderId="4" xfId="12" applyNumberFormat="1"/>
    <xf numFmtId="165" fontId="11" fillId="6" borderId="4" xfId="12" applyNumberFormat="1"/>
    <xf numFmtId="0" fontId="11" fillId="6" borderId="4" xfId="12" applyNumberFormat="1"/>
    <xf numFmtId="0" fontId="16" fillId="0" borderId="0" xfId="0" applyFont="1" applyAlignment="1">
      <alignment horizontal="left"/>
    </xf>
    <xf numFmtId="0" fontId="22" fillId="6" borderId="10" xfId="11" applyFont="1" applyBorder="1"/>
    <xf numFmtId="166" fontId="11" fillId="6" borderId="4" xfId="12" applyNumberFormat="1"/>
    <xf numFmtId="164" fontId="11" fillId="6" borderId="4" xfId="12" applyNumberFormat="1"/>
    <xf numFmtId="2" fontId="11" fillId="6" borderId="4" xfId="12" applyNumberFormat="1"/>
    <xf numFmtId="0" fontId="24" fillId="0" borderId="0" xfId="0" applyFont="1" applyAlignment="1">
      <alignment horizontal="center"/>
    </xf>
    <xf numFmtId="166" fontId="9" fillId="5" borderId="4" xfId="10" applyNumberFormat="1"/>
    <xf numFmtId="164" fontId="9" fillId="5" borderId="4" xfId="10" applyNumberFormat="1"/>
    <xf numFmtId="0" fontId="0" fillId="8" borderId="8" xfId="16" applyFont="1" applyAlignment="1">
      <alignment horizontal="center"/>
    </xf>
    <xf numFmtId="0" fontId="0" fillId="0" borderId="0" xfId="0" applyAlignment="1">
      <alignment horizontal="center" wrapText="1"/>
    </xf>
    <xf numFmtId="0" fontId="19" fillId="0" borderId="11" xfId="0" applyNumberFormat="1" applyFont="1" applyBorder="1" applyAlignment="1">
      <alignment horizontal="center" vertical="center" wrapText="1"/>
    </xf>
    <xf numFmtId="165" fontId="23" fillId="7" borderId="7" xfId="14" applyNumberFormat="1" applyFont="1" applyAlignment="1">
      <alignment horizontal="center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Percent" xfId="1" builtinId="5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hartsheet" Target="chartsheets/sheet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16"/>
            <c:spPr>
              <a:solidFill>
                <a:schemeClr val="tx1">
                  <a:alpha val="75000"/>
                </a:schemeClr>
              </a:solidFill>
              <a:ln>
                <a:noFill/>
              </a:ln>
            </c:spPr>
          </c:marker>
          <c:xVal>
            <c:numRef>
              <c:f>'Adjusted Shot Analysis'!$C$2:$C$41</c:f>
              <c:numCache>
                <c:formatCode>General</c:formatCode>
                <c:ptCount val="40"/>
                <c:pt idx="0">
                  <c:v>-1.1679999999999997</c:v>
                </c:pt>
                <c:pt idx="1">
                  <c:v>0.27000000000000046</c:v>
                </c:pt>
                <c:pt idx="2">
                  <c:v>-0.22699999999999987</c:v>
                </c:pt>
                <c:pt idx="3">
                  <c:v>0.28800000000000026</c:v>
                </c:pt>
                <c:pt idx="4">
                  <c:v>-0.27899999999999991</c:v>
                </c:pt>
                <c:pt idx="5">
                  <c:v>-0.27400000000000002</c:v>
                </c:pt>
                <c:pt idx="6">
                  <c:v>-1.6829999999999998</c:v>
                </c:pt>
                <c:pt idx="7">
                  <c:v>-1.2789999999999999</c:v>
                </c:pt>
                <c:pt idx="8">
                  <c:v>-0.31400000000000006</c:v>
                </c:pt>
                <c:pt idx="9">
                  <c:v>-0.2849999999999997</c:v>
                </c:pt>
                <c:pt idx="10">
                  <c:v>8.3000000000000185E-2</c:v>
                </c:pt>
                <c:pt idx="11">
                  <c:v>1.9000000000000128E-2</c:v>
                </c:pt>
                <c:pt idx="12">
                  <c:v>0.22900000000000009</c:v>
                </c:pt>
                <c:pt idx="13">
                  <c:v>0.24699999999999989</c:v>
                </c:pt>
                <c:pt idx="14">
                  <c:v>0.67400000000000038</c:v>
                </c:pt>
                <c:pt idx="15">
                  <c:v>1.0659999999999998</c:v>
                </c:pt>
                <c:pt idx="16">
                  <c:v>1.5979999999999999</c:v>
                </c:pt>
                <c:pt idx="17">
                  <c:v>0.45199999999999996</c:v>
                </c:pt>
                <c:pt idx="18">
                  <c:v>-0.10999999999999988</c:v>
                </c:pt>
                <c:pt idx="19">
                  <c:v>0.68599999999999994</c:v>
                </c:pt>
                <c:pt idx="20">
                  <c:v>-1.4840000000000002</c:v>
                </c:pt>
                <c:pt idx="21">
                  <c:v>-1.286</c:v>
                </c:pt>
                <c:pt idx="22">
                  <c:v>1.0750000000000002</c:v>
                </c:pt>
                <c:pt idx="23">
                  <c:v>1.3069999999999995</c:v>
                </c:pt>
                <c:pt idx="24">
                  <c:v>1.1299999999999999</c:v>
                </c:pt>
                <c:pt idx="25">
                  <c:v>-1.5000000000000124E-2</c:v>
                </c:pt>
                <c:pt idx="26">
                  <c:v>-0.31899999999999995</c:v>
                </c:pt>
                <c:pt idx="27">
                  <c:v>-0.46200000000000019</c:v>
                </c:pt>
                <c:pt idx="28">
                  <c:v>-1.0409999999999999</c:v>
                </c:pt>
                <c:pt idx="29">
                  <c:v>-0.64000000000000012</c:v>
                </c:pt>
                <c:pt idx="30">
                  <c:v>4.0000000000000036E-2</c:v>
                </c:pt>
                <c:pt idx="31">
                  <c:v>0.69899999999999984</c:v>
                </c:pt>
                <c:pt idx="32">
                  <c:v>-0.18800000000000017</c:v>
                </c:pt>
                <c:pt idx="33">
                  <c:v>3.2000000000000028E-2</c:v>
                </c:pt>
                <c:pt idx="34">
                  <c:v>0.24299999999999988</c:v>
                </c:pt>
                <c:pt idx="35">
                  <c:v>0.496</c:v>
                </c:pt>
                <c:pt idx="36">
                  <c:v>0.73299999999999965</c:v>
                </c:pt>
                <c:pt idx="37">
                  <c:v>0.60599999999999987</c:v>
                </c:pt>
                <c:pt idx="38">
                  <c:v>-0.89300000000000024</c:v>
                </c:pt>
                <c:pt idx="39">
                  <c:v>-4.0000000000000036E-2</c:v>
                </c:pt>
              </c:numCache>
            </c:numRef>
          </c:xVal>
          <c:yVal>
            <c:numRef>
              <c:f>'Adjusted Shot Analysis'!$D$2:$D$41</c:f>
              <c:numCache>
                <c:formatCode>0.000</c:formatCode>
                <c:ptCount val="40"/>
                <c:pt idx="0">
                  <c:v>1.2611057647478254</c:v>
                </c:pt>
                <c:pt idx="1">
                  <c:v>1.2192765685988149</c:v>
                </c:pt>
                <c:pt idx="2">
                  <c:v>0.98521106674371406</c:v>
                </c:pt>
                <c:pt idx="3">
                  <c:v>0.7769550688954493</c:v>
                </c:pt>
                <c:pt idx="4">
                  <c:v>0.66214727520986749</c:v>
                </c:pt>
                <c:pt idx="5">
                  <c:v>0.39159247458648061</c:v>
                </c:pt>
                <c:pt idx="6">
                  <c:v>-2.491952111004879E-2</c:v>
                </c:pt>
                <c:pt idx="7">
                  <c:v>-0.21715582681613907</c:v>
                </c:pt>
                <c:pt idx="8">
                  <c:v>-0.24830522820370013</c:v>
                </c:pt>
                <c:pt idx="9">
                  <c:v>-0.35777312450855708</c:v>
                </c:pt>
                <c:pt idx="10">
                  <c:v>-0.38892252589611814</c:v>
                </c:pt>
                <c:pt idx="11">
                  <c:v>0.13705736610526856</c:v>
                </c:pt>
                <c:pt idx="12">
                  <c:v>3.8269264561860743E-2</c:v>
                </c:pt>
                <c:pt idx="13">
                  <c:v>0.23584546764867598</c:v>
                </c:pt>
                <c:pt idx="14">
                  <c:v>0.12103767396309413</c:v>
                </c:pt>
                <c:pt idx="15">
                  <c:v>0.16286687011210468</c:v>
                </c:pt>
                <c:pt idx="16">
                  <c:v>-0.3319636205017209</c:v>
                </c:pt>
                <c:pt idx="17">
                  <c:v>-0.74758563330146333</c:v>
                </c:pt>
                <c:pt idx="18">
                  <c:v>-1.247756021296013</c:v>
                </c:pt>
                <c:pt idx="19">
                  <c:v>-2.4287633253329672</c:v>
                </c:pt>
                <c:pt idx="20">
                  <c:v>1.0359400918605985</c:v>
                </c:pt>
                <c:pt idx="21">
                  <c:v>0.88553298230351885</c:v>
                </c:pt>
                <c:pt idx="22">
                  <c:v>1.1329482276104315</c:v>
                </c:pt>
                <c:pt idx="23">
                  <c:v>0.37379281665073144</c:v>
                </c:pt>
                <c:pt idx="24">
                  <c:v>0.36311302188928163</c:v>
                </c:pt>
                <c:pt idx="25">
                  <c:v>0.5241999262078112</c:v>
                </c:pt>
                <c:pt idx="26">
                  <c:v>0.68617681342312853</c:v>
                </c:pt>
                <c:pt idx="27">
                  <c:v>0.52063999462066168</c:v>
                </c:pt>
                <c:pt idx="28">
                  <c:v>0.29903425332058547</c:v>
                </c:pt>
                <c:pt idx="29">
                  <c:v>-0.15930693852495487</c:v>
                </c:pt>
                <c:pt idx="30">
                  <c:v>-0.23139555316473839</c:v>
                </c:pt>
                <c:pt idx="31">
                  <c:v>0.1406172976924176</c:v>
                </c:pt>
                <c:pt idx="32">
                  <c:v>-0.59984847243474571</c:v>
                </c:pt>
                <c:pt idx="33">
                  <c:v>-0.74224573592073873</c:v>
                </c:pt>
                <c:pt idx="34">
                  <c:v>-0.70842638584281525</c:v>
                </c:pt>
                <c:pt idx="35">
                  <c:v>-0.7502555819918254</c:v>
                </c:pt>
                <c:pt idx="36">
                  <c:v>-0.85527356381274544</c:v>
                </c:pt>
                <c:pt idx="37">
                  <c:v>-1.3100548240711356</c:v>
                </c:pt>
                <c:pt idx="38">
                  <c:v>-1.1293882960232817</c:v>
                </c:pt>
                <c:pt idx="39">
                  <c:v>0.52063999462066168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462656"/>
        <c:axId val="85970304"/>
      </c:scatterChart>
      <c:valAx>
        <c:axId val="47462656"/>
        <c:scaling>
          <c:orientation val="minMax"/>
          <c:max val="3"/>
          <c:min val="-3"/>
        </c:scaling>
        <c:delete val="0"/>
        <c:axPos val="b"/>
        <c:majorGridlines/>
        <c:numFmt formatCode="General" sourceLinked="1"/>
        <c:majorTickMark val="out"/>
        <c:minorTickMark val="none"/>
        <c:tickLblPos val="low"/>
        <c:crossAx val="85970304"/>
        <c:crosses val="autoZero"/>
        <c:crossBetween val="midCat"/>
      </c:valAx>
      <c:valAx>
        <c:axId val="85970304"/>
        <c:scaling>
          <c:orientation val="minMax"/>
          <c:max val="3"/>
          <c:min val="-3"/>
        </c:scaling>
        <c:delete val="0"/>
        <c:axPos val="l"/>
        <c:majorGridlines/>
        <c:numFmt formatCode="0" sourceLinked="0"/>
        <c:majorTickMark val="out"/>
        <c:minorTickMark val="none"/>
        <c:tickLblPos val="low"/>
        <c:crossAx val="47462656"/>
        <c:crosses val="autoZero"/>
        <c:crossBetween val="midCat"/>
      </c:valAx>
    </c:plotArea>
    <c:plotVisOnly val="1"/>
    <c:dispBlanksAs val="gap"/>
    <c:showDLblsOverMax val="0"/>
  </c:chart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tabSelected="1" workbookViewId="0"/>
  </sheetViews>
  <pageMargins left="2" right="2" top="0.75" bottom="0.75" header="0" footer="0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6278880" cy="627888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0.50507</cdr:x>
      <cdr:y>0.48145</cdr:y>
    </cdr:from>
    <cdr:to>
      <cdr:x>0.516</cdr:x>
      <cdr:y>0.4919</cdr:y>
    </cdr:to>
    <cdr:sp macro="" textlink="">
      <cdr:nvSpPr>
        <cdr:cNvPr id="2" name="Oval 1"/>
        <cdr:cNvSpPr/>
      </cdr:nvSpPr>
      <cdr:spPr>
        <a:xfrm xmlns:a="http://schemas.openxmlformats.org/drawingml/2006/main">
          <a:off x="3172326" y="3023937"/>
          <a:ext cx="68646" cy="65686"/>
        </a:xfrm>
        <a:prstGeom xmlns:a="http://schemas.openxmlformats.org/drawingml/2006/main" prst="ellipse">
          <a:avLst/>
        </a:prstGeom>
        <a:solidFill xmlns:a="http://schemas.openxmlformats.org/drawingml/2006/main">
          <a:srgbClr val="C00000"/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2">
            <a:shade val="50000"/>
          </a:schemeClr>
        </a:lnRef>
        <a:fillRef xmlns:a="http://schemas.openxmlformats.org/drawingml/2006/main" idx="1">
          <a:schemeClr val="accent2"/>
        </a:fillRef>
        <a:effectRef xmlns:a="http://schemas.openxmlformats.org/drawingml/2006/main" idx="0">
          <a:schemeClr val="accent2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0.3676</cdr:x>
      <cdr:y>0.34333</cdr:y>
    </cdr:from>
    <cdr:to>
      <cdr:x>0.65148</cdr:x>
      <cdr:y>0.62722</cdr:y>
    </cdr:to>
    <cdr:sp macro="" textlink="">
      <cdr:nvSpPr>
        <cdr:cNvPr id="3" name="Oval 2"/>
        <cdr:cNvSpPr/>
      </cdr:nvSpPr>
      <cdr:spPr>
        <a:xfrm xmlns:a="http://schemas.openxmlformats.org/drawingml/2006/main">
          <a:off x="2308860" y="2156460"/>
          <a:ext cx="1783080" cy="1783080"/>
        </a:xfrm>
        <a:prstGeom xmlns:a="http://schemas.openxmlformats.org/drawingml/2006/main" prst="ellipse">
          <a:avLst/>
        </a:prstGeom>
        <a:noFill xmlns:a="http://schemas.openxmlformats.org/drawingml/2006/main"/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0.58961</cdr:x>
      <cdr:y>0.33484</cdr:y>
    </cdr:from>
    <cdr:to>
      <cdr:x>0.67575</cdr:x>
      <cdr:y>0.38943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3703320" y="2103120"/>
          <a:ext cx="541020" cy="3429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tx2"/>
              </a:solidFill>
            </a:rPr>
            <a:t>CEP</a:t>
          </a:r>
        </a:p>
      </cdr:txBody>
    </cdr:sp>
  </cdr:relSizeAnchor>
  <cdr:relSizeAnchor xmlns:cdr="http://schemas.openxmlformats.org/drawingml/2006/chartDrawing">
    <cdr:from>
      <cdr:x>0.20139</cdr:x>
      <cdr:y>0.04004</cdr:y>
    </cdr:from>
    <cdr:to>
      <cdr:x>0.8189</cdr:x>
      <cdr:y>0.18926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1264920" y="251460"/>
          <a:ext cx="3878580" cy="937260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effectLst xmlns:a="http://schemas.openxmlformats.org/drawingml/2006/main">
          <a:softEdge rad="63500"/>
        </a:effectLst>
      </cdr:spPr>
      <cdr:txBody>
        <a:bodyPr xmlns:a="http://schemas.openxmlformats.org/drawingml/2006/main" vertOverflow="clip" wrap="none" rtlCol="0" anchor="ctr"/>
        <a:lstStyle xmlns:a="http://schemas.openxmlformats.org/drawingml/2006/main"/>
        <a:p xmlns:a="http://schemas.openxmlformats.org/drawingml/2006/main">
          <a:pPr algn="ctr"/>
          <a:r>
            <a:rPr lang="en-US" sz="1600"/>
            <a:t>40 shots of .22LR 40gr CCI HV at 100 yards</a:t>
          </a:r>
        </a:p>
        <a:p xmlns:a="http://schemas.openxmlformats.org/drawingml/2006/main">
          <a:pPr algn="ctr"/>
          <a:r>
            <a:rPr lang="en-US" sz="1200"/>
            <a:t>(adjusted</a:t>
          </a:r>
          <a:r>
            <a:rPr lang="en-US" sz="1200" baseline="0"/>
            <a:t> for muzzle velocity dispersion)</a:t>
          </a:r>
        </a:p>
        <a:p xmlns:a="http://schemas.openxmlformats.org/drawingml/2006/main">
          <a:pPr algn="ctr"/>
          <a:r>
            <a:rPr lang="en-US" sz="1400" baseline="0"/>
            <a:t>σ = .75MOA      CEP = .93"</a:t>
          </a:r>
          <a:endParaRPr lang="en-US" sz="1400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1"/>
  <sheetViews>
    <sheetView workbookViewId="0"/>
  </sheetViews>
  <sheetFormatPr defaultRowHeight="13.2" x14ac:dyDescent="0.25"/>
  <sheetData>
    <row r="1" spans="1:14" x14ac:dyDescent="0.25">
      <c r="A1" t="s">
        <v>21</v>
      </c>
      <c r="B1" t="s">
        <v>7</v>
      </c>
      <c r="C1" s="7" t="s">
        <v>0</v>
      </c>
      <c r="D1" s="7" t="s">
        <v>1</v>
      </c>
      <c r="E1" s="7" t="s">
        <v>3</v>
      </c>
      <c r="F1" s="7" t="s">
        <v>6</v>
      </c>
      <c r="J1" s="7" t="s">
        <v>0</v>
      </c>
      <c r="K1" s="7" t="s">
        <v>1</v>
      </c>
    </row>
    <row r="2" spans="1:14" x14ac:dyDescent="0.25">
      <c r="A2">
        <v>1</v>
      </c>
      <c r="B2">
        <v>1</v>
      </c>
      <c r="C2" s="2">
        <v>-1.1679999999999997</v>
      </c>
      <c r="D2" s="2">
        <v>1.4170000000000003</v>
      </c>
      <c r="E2" s="38">
        <f t="shared" ref="E2:E41" si="0">SQRT(POWER(C2-$J$2,2)+POWER(D2-$K$2,2))</f>
        <v>1.8362245627918172</v>
      </c>
      <c r="F2" s="38">
        <f>E2*E2</f>
        <v>3.3717206450000003</v>
      </c>
      <c r="I2" s="1" t="s">
        <v>2</v>
      </c>
      <c r="J2" s="38">
        <f>AVERAGE(C:C)</f>
        <v>-3.5000000000000585E-4</v>
      </c>
      <c r="K2" s="38">
        <f>AVERAGE(D:D)</f>
        <v>-1.5000000000000568E-4</v>
      </c>
    </row>
    <row r="3" spans="1:14" ht="13.8" customHeight="1" x14ac:dyDescent="0.25">
      <c r="A3">
        <v>1</v>
      </c>
      <c r="B3">
        <v>2</v>
      </c>
      <c r="C3" s="2">
        <v>0.27000000000000046</v>
      </c>
      <c r="D3" s="2">
        <v>1.37</v>
      </c>
      <c r="E3" s="38">
        <f t="shared" si="0"/>
        <v>1.3965672719206907</v>
      </c>
      <c r="F3" s="38">
        <f t="shared" ref="F3:F41" si="1">E3*E3</f>
        <v>1.9504001450000006</v>
      </c>
      <c r="I3" s="1" t="s">
        <v>4</v>
      </c>
      <c r="J3" s="3">
        <f>MAX(C:C)-MIN(C:C)</f>
        <v>3.2809999999999997</v>
      </c>
      <c r="K3" s="3">
        <f>MAX(D:D)-MIN(D:D)</f>
        <v>4.1459999999999999</v>
      </c>
    </row>
    <row r="4" spans="1:14" ht="13.2" customHeight="1" x14ac:dyDescent="0.25">
      <c r="A4">
        <v>1</v>
      </c>
      <c r="B4">
        <v>3</v>
      </c>
      <c r="C4" s="2">
        <v>-0.22699999999999987</v>
      </c>
      <c r="D4" s="2">
        <v>1.1070000000000002</v>
      </c>
      <c r="E4" s="38">
        <f t="shared" si="0"/>
        <v>1.1301112091294381</v>
      </c>
      <c r="F4" s="38">
        <f t="shared" si="1"/>
        <v>1.2771513450000005</v>
      </c>
      <c r="I4" s="1" t="s">
        <v>5</v>
      </c>
      <c r="J4" s="39">
        <f>STDEV(C:C)</f>
        <v>0.77897600601605044</v>
      </c>
      <c r="K4" s="39">
        <f>STDEV(D:D)</f>
        <v>0.88985990110227098</v>
      </c>
    </row>
    <row r="5" spans="1:14" x14ac:dyDescent="0.25">
      <c r="A5">
        <v>1</v>
      </c>
      <c r="B5">
        <v>4</v>
      </c>
      <c r="C5" s="2">
        <v>0.28800000000000026</v>
      </c>
      <c r="D5" s="2">
        <v>0.87300000000000022</v>
      </c>
      <c r="E5" s="38">
        <f t="shared" si="0"/>
        <v>0.9195306656115394</v>
      </c>
      <c r="F5" s="38">
        <f t="shared" si="1"/>
        <v>0.8455366450000007</v>
      </c>
      <c r="I5" s="4" t="s">
        <v>12</v>
      </c>
      <c r="J5" s="39">
        <f>VAR(C:C)</f>
        <v>0.60680361794871784</v>
      </c>
      <c r="K5" s="39">
        <f>VAR(D:D)</f>
        <v>0.79185064358974344</v>
      </c>
    </row>
    <row r="6" spans="1:14" x14ac:dyDescent="0.25">
      <c r="A6">
        <v>1</v>
      </c>
      <c r="B6">
        <v>5</v>
      </c>
      <c r="C6" s="2">
        <v>-0.27899999999999991</v>
      </c>
      <c r="D6" s="2">
        <v>0.74400000000000022</v>
      </c>
      <c r="E6" s="38">
        <f t="shared" si="0"/>
        <v>0.79460999553239975</v>
      </c>
      <c r="F6" s="38">
        <f t="shared" si="1"/>
        <v>0.63140504500000039</v>
      </c>
      <c r="I6" s="4"/>
    </row>
    <row r="7" spans="1:14" x14ac:dyDescent="0.25">
      <c r="A7">
        <v>1</v>
      </c>
      <c r="B7">
        <v>6</v>
      </c>
      <c r="C7" s="2">
        <v>-0.27400000000000002</v>
      </c>
      <c r="D7" s="2">
        <v>0.43999999999999995</v>
      </c>
      <c r="E7" s="38">
        <f t="shared" si="0"/>
        <v>0.51828210947320952</v>
      </c>
      <c r="F7" s="38">
        <f t="shared" si="1"/>
        <v>0.26861634499999992</v>
      </c>
    </row>
    <row r="8" spans="1:14" x14ac:dyDescent="0.25">
      <c r="A8">
        <v>1</v>
      </c>
      <c r="B8">
        <v>7</v>
      </c>
      <c r="C8" s="2">
        <v>-1.6829999999999998</v>
      </c>
      <c r="D8" s="2">
        <v>-2.8000000000000025E-2</v>
      </c>
      <c r="E8" s="38">
        <f t="shared" si="0"/>
        <v>1.6828804606982632</v>
      </c>
      <c r="F8" s="38">
        <f t="shared" si="1"/>
        <v>2.8320866449999986</v>
      </c>
      <c r="I8" s="6" t="s">
        <v>8</v>
      </c>
      <c r="J8" s="9">
        <f>SQRT(J3*J3+K3*K3)</f>
        <v>5.287180439515943</v>
      </c>
      <c r="L8" s="24" t="s">
        <v>24</v>
      </c>
      <c r="M8" s="25">
        <f>3600*TAN(RADIANS(1/60))</f>
        <v>1.0471975807331373</v>
      </c>
    </row>
    <row r="9" spans="1:14" x14ac:dyDescent="0.25">
      <c r="A9">
        <v>1</v>
      </c>
      <c r="B9">
        <v>8</v>
      </c>
      <c r="C9" s="2">
        <v>-1.2789999999999999</v>
      </c>
      <c r="D9" s="2">
        <v>-0.24399999999999977</v>
      </c>
      <c r="E9" s="38">
        <f t="shared" si="0"/>
        <v>1.3016945282976338</v>
      </c>
      <c r="F9" s="38">
        <f t="shared" si="1"/>
        <v>1.6944086449999993</v>
      </c>
      <c r="I9" s="8" t="s">
        <v>9</v>
      </c>
      <c r="J9" s="10">
        <f>AVERAGE(J3:K3)</f>
        <v>3.7134999999999998</v>
      </c>
    </row>
    <row r="10" spans="1:14" x14ac:dyDescent="0.25">
      <c r="A10">
        <v>1</v>
      </c>
      <c r="B10">
        <v>9</v>
      </c>
      <c r="C10" s="2">
        <v>-0.31400000000000006</v>
      </c>
      <c r="D10" s="2">
        <v>-0.27899999999999991</v>
      </c>
      <c r="E10" s="38">
        <f t="shared" si="0"/>
        <v>0.41968279092667121</v>
      </c>
      <c r="F10" s="38">
        <f t="shared" si="1"/>
        <v>0.17613364500000003</v>
      </c>
    </row>
    <row r="11" spans="1:14" x14ac:dyDescent="0.25">
      <c r="A11">
        <v>1</v>
      </c>
      <c r="B11">
        <v>10</v>
      </c>
      <c r="C11" s="2">
        <v>-0.2849999999999997</v>
      </c>
      <c r="D11" s="2">
        <v>-0.40199999999999969</v>
      </c>
      <c r="E11" s="38">
        <f t="shared" si="0"/>
        <v>0.49245207381023343</v>
      </c>
      <c r="F11" s="38">
        <f t="shared" si="1"/>
        <v>0.24250904499999959</v>
      </c>
      <c r="I11" s="1" t="s">
        <v>10</v>
      </c>
      <c r="J11" s="13">
        <f>COUNT(E:E)</f>
        <v>40</v>
      </c>
      <c r="K11" s="1" t="s">
        <v>16</v>
      </c>
      <c r="L11" s="13">
        <f>2*J11-2</f>
        <v>78</v>
      </c>
    </row>
    <row r="12" spans="1:14" x14ac:dyDescent="0.25">
      <c r="A12">
        <v>1</v>
      </c>
      <c r="B12">
        <v>11</v>
      </c>
      <c r="C12" s="2">
        <v>8.3000000000000185E-2</v>
      </c>
      <c r="D12" s="2">
        <v>-0.43699999999999983</v>
      </c>
      <c r="E12" s="38">
        <f t="shared" si="0"/>
        <v>0.44473041834351729</v>
      </c>
      <c r="F12" s="38">
        <f t="shared" si="1"/>
        <v>0.19778514499999988</v>
      </c>
      <c r="I12" s="1" t="s">
        <v>11</v>
      </c>
      <c r="J12" s="14">
        <f>1/EXP(LN(SQRT(2/(2*J11-2)))+GAMMALN((2*J11-1)/2)-GAMMALN((2*J11-2)/2))</f>
        <v>1.0032101820539403</v>
      </c>
    </row>
    <row r="13" spans="1:14" x14ac:dyDescent="0.25">
      <c r="A13">
        <v>1</v>
      </c>
      <c r="B13">
        <v>12</v>
      </c>
      <c r="C13" s="2">
        <v>1.9000000000000128E-2</v>
      </c>
      <c r="D13" s="2">
        <v>0.15400000000000036</v>
      </c>
      <c r="E13" s="38">
        <f t="shared" si="0"/>
        <v>0.15535972772890702</v>
      </c>
      <c r="F13" s="38">
        <f t="shared" si="1"/>
        <v>2.413664500000012E-2</v>
      </c>
      <c r="K13" s="43" t="s">
        <v>15</v>
      </c>
      <c r="L13" s="43"/>
      <c r="M13" s="11">
        <v>0.95</v>
      </c>
    </row>
    <row r="14" spans="1:14" x14ac:dyDescent="0.25">
      <c r="A14">
        <v>1</v>
      </c>
      <c r="B14">
        <v>13</v>
      </c>
      <c r="C14" s="2">
        <v>0.22900000000000009</v>
      </c>
      <c r="D14" s="2">
        <v>4.3000000000000149E-2</v>
      </c>
      <c r="E14" s="38">
        <f t="shared" si="0"/>
        <v>0.2333738310093916</v>
      </c>
      <c r="F14" s="38">
        <f t="shared" si="1"/>
        <v>5.4463345000000073E-2</v>
      </c>
      <c r="H14" s="22" t="s">
        <v>24</v>
      </c>
      <c r="I14" s="5" t="s">
        <v>14</v>
      </c>
      <c r="J14" s="17">
        <f>AVERAGE(J5:K5)</f>
        <v>0.69932713076923059</v>
      </c>
      <c r="K14" s="16">
        <f>$L$11*$J$14/CHIINV((1-$M$13)/2,$L$11)</f>
        <v>0.52290682833566027</v>
      </c>
      <c r="L14" s="16">
        <f>$L$11*$J$14/CHIINV(0.5+$M$13/2,$L$11)</f>
        <v>0.98344724720540533</v>
      </c>
    </row>
    <row r="15" spans="1:14" x14ac:dyDescent="0.25">
      <c r="A15">
        <v>1</v>
      </c>
      <c r="B15">
        <v>14</v>
      </c>
      <c r="C15" s="2">
        <v>0.24699999999999989</v>
      </c>
      <c r="D15" s="2">
        <v>0.26500000000000012</v>
      </c>
      <c r="E15" s="38">
        <f t="shared" si="0"/>
        <v>0.36261073481076095</v>
      </c>
      <c r="F15" s="38">
        <f t="shared" si="1"/>
        <v>0.13148654500000001</v>
      </c>
      <c r="H15" s="21">
        <f>J15/$M$8</f>
        <v>0.80113091248325918</v>
      </c>
      <c r="I15" s="15" t="s">
        <v>13</v>
      </c>
      <c r="J15" s="18">
        <f>J12*SQRT(J14)</f>
        <v>0.83894235340299972</v>
      </c>
      <c r="K15" s="16">
        <f>$J$12*SQRT(K14)</f>
        <v>0.72544432540582038</v>
      </c>
      <c r="L15" s="16">
        <f>$J$12*SQRT(L14)</f>
        <v>0.99487259048664578</v>
      </c>
      <c r="M15" s="20">
        <f t="shared" ref="M15" si="2">(L15-K15)/J15</f>
        <v>0.32115229847193222</v>
      </c>
      <c r="N15" s="12" t="s">
        <v>20</v>
      </c>
    </row>
    <row r="16" spans="1:14" x14ac:dyDescent="0.25">
      <c r="A16">
        <v>1</v>
      </c>
      <c r="B16">
        <v>15</v>
      </c>
      <c r="C16" s="2">
        <v>0.67400000000000038</v>
      </c>
      <c r="D16" s="2">
        <v>0.13600000000000012</v>
      </c>
      <c r="E16" s="38">
        <f t="shared" si="0"/>
        <v>0.68795693542546721</v>
      </c>
      <c r="F16" s="38">
        <f t="shared" si="1"/>
        <v>0.47328474500000045</v>
      </c>
      <c r="H16" s="21">
        <f>J16/$M$8</f>
        <v>0.94325956570475689</v>
      </c>
      <c r="I16" s="15" t="s">
        <v>17</v>
      </c>
      <c r="J16" s="19">
        <f>J15*SQRT(LN(4))</f>
        <v>0.98777913520941119</v>
      </c>
      <c r="K16" s="16">
        <f t="shared" ref="K16:L16" si="3">K15*SQRT(LN(4))</f>
        <v>0.85414541950979028</v>
      </c>
      <c r="L16" s="16">
        <f t="shared" si="3"/>
        <v>1.1713729591649102</v>
      </c>
    </row>
    <row r="17" spans="1:12" x14ac:dyDescent="0.25">
      <c r="A17">
        <v>1</v>
      </c>
      <c r="B17">
        <v>16</v>
      </c>
      <c r="C17" s="2">
        <v>1.0659999999999998</v>
      </c>
      <c r="D17" s="2">
        <v>0.18300000000000027</v>
      </c>
      <c r="E17" s="38">
        <f t="shared" si="0"/>
        <v>1.0819640682573519</v>
      </c>
      <c r="F17" s="38">
        <f t="shared" si="1"/>
        <v>1.1706462449999997</v>
      </c>
      <c r="H17" s="21">
        <f>J17/$M$8</f>
        <v>1.0040686984557354</v>
      </c>
      <c r="I17" s="15" t="s">
        <v>18</v>
      </c>
      <c r="J17" s="19">
        <f>J15*SQRT(PI()/2)</f>
        <v>1.0514583119127161</v>
      </c>
      <c r="K17" s="16">
        <f>K15*SQRT(PI()/2)</f>
        <v>0.90920962886642076</v>
      </c>
      <c r="L17" s="16">
        <f>L15*SQRT(PI()/2)</f>
        <v>1.2468878824846072</v>
      </c>
    </row>
    <row r="18" spans="1:12" x14ac:dyDescent="0.25">
      <c r="A18">
        <v>1</v>
      </c>
      <c r="B18">
        <v>17</v>
      </c>
      <c r="C18" s="2">
        <v>1.5979999999999999</v>
      </c>
      <c r="D18" s="2">
        <v>-0.37299999999999978</v>
      </c>
      <c r="E18" s="38">
        <f t="shared" si="0"/>
        <v>1.6412616625632854</v>
      </c>
      <c r="F18" s="38">
        <f t="shared" si="1"/>
        <v>2.6937398449999996</v>
      </c>
      <c r="H18" s="21">
        <f>J18/$M$8</f>
        <v>1.1329702016701582</v>
      </c>
      <c r="I18" s="15" t="s">
        <v>19</v>
      </c>
      <c r="J18" s="19">
        <f>J15*SQRT(2)</f>
        <v>1.1864436542317243</v>
      </c>
      <c r="K18" s="16">
        <f t="shared" ref="K18:L18" si="4">K15*SQRT(2)</f>
        <v>1.025933203735512</v>
      </c>
      <c r="L18" s="16">
        <f t="shared" si="4"/>
        <v>1.4069623102994688</v>
      </c>
    </row>
    <row r="19" spans="1:12" x14ac:dyDescent="0.25">
      <c r="A19">
        <v>1</v>
      </c>
      <c r="B19">
        <v>18</v>
      </c>
      <c r="C19" s="2">
        <v>0.45199999999999996</v>
      </c>
      <c r="D19" s="2">
        <v>-0.8400000000000003</v>
      </c>
      <c r="E19" s="38">
        <f t="shared" si="0"/>
        <v>0.95392271437470266</v>
      </c>
      <c r="F19" s="38">
        <f t="shared" si="1"/>
        <v>0.90996854500000057</v>
      </c>
      <c r="H19" s="21">
        <f>J19/$M$8</f>
        <v>2.0081373969114709</v>
      </c>
      <c r="I19" s="15" t="s">
        <v>22</v>
      </c>
      <c r="J19" s="19">
        <f>2*J17</f>
        <v>2.1029166238254322</v>
      </c>
      <c r="K19" s="16">
        <f t="shared" ref="K19:L19" si="5">2*K17</f>
        <v>1.8184192577328415</v>
      </c>
      <c r="L19" s="16">
        <f t="shared" si="5"/>
        <v>2.4937757649692145</v>
      </c>
    </row>
    <row r="20" spans="1:12" x14ac:dyDescent="0.25">
      <c r="A20">
        <v>1</v>
      </c>
      <c r="B20">
        <v>19</v>
      </c>
      <c r="C20" s="2">
        <v>-0.10999999999999988</v>
      </c>
      <c r="D20" s="2">
        <v>-1.4019999999999997</v>
      </c>
      <c r="E20" s="38">
        <f t="shared" si="0"/>
        <v>1.4061317665851942</v>
      </c>
      <c r="F20" s="38">
        <f t="shared" si="1"/>
        <v>1.9772065449999991</v>
      </c>
    </row>
    <row r="21" spans="1:12" x14ac:dyDescent="0.25">
      <c r="A21">
        <v>1</v>
      </c>
      <c r="B21">
        <v>20</v>
      </c>
      <c r="C21" s="2">
        <v>0.68599999999999994</v>
      </c>
      <c r="D21" s="2">
        <v>-2.7289999999999996</v>
      </c>
      <c r="E21" s="38">
        <f t="shared" si="0"/>
        <v>2.8138405507419924</v>
      </c>
      <c r="F21" s="38">
        <f t="shared" si="1"/>
        <v>7.9176986449999989</v>
      </c>
    </row>
    <row r="22" spans="1:12" x14ac:dyDescent="0.25">
      <c r="A22">
        <v>2</v>
      </c>
      <c r="B22">
        <v>1</v>
      </c>
      <c r="C22" s="2">
        <v>-1.4840000000000002</v>
      </c>
      <c r="D22" s="2">
        <v>1.1639999999999997</v>
      </c>
      <c r="E22" s="38">
        <f t="shared" si="0"/>
        <v>1.8858585697236152</v>
      </c>
      <c r="F22" s="38">
        <f t="shared" si="1"/>
        <v>3.5564625449999996</v>
      </c>
    </row>
    <row r="23" spans="1:12" x14ac:dyDescent="0.25">
      <c r="A23">
        <v>2</v>
      </c>
      <c r="B23">
        <v>2</v>
      </c>
      <c r="C23" s="2">
        <v>-1.286</v>
      </c>
      <c r="D23" s="2">
        <v>0.99500000000000011</v>
      </c>
      <c r="E23" s="38">
        <f t="shared" si="0"/>
        <v>1.62579809478299</v>
      </c>
      <c r="F23" s="38">
        <f t="shared" si="1"/>
        <v>2.6432194450000002</v>
      </c>
    </row>
    <row r="24" spans="1:12" x14ac:dyDescent="0.25">
      <c r="A24">
        <v>2</v>
      </c>
      <c r="B24">
        <v>3</v>
      </c>
      <c r="C24" s="2">
        <v>1.0750000000000002</v>
      </c>
      <c r="D24" s="2">
        <v>1.2729999999999997</v>
      </c>
      <c r="E24" s="38">
        <f t="shared" si="0"/>
        <v>1.6665198903703491</v>
      </c>
      <c r="F24" s="38">
        <f t="shared" si="1"/>
        <v>2.7772885450000002</v>
      </c>
    </row>
    <row r="25" spans="1:12" x14ac:dyDescent="0.25">
      <c r="A25">
        <v>2</v>
      </c>
      <c r="B25">
        <v>4</v>
      </c>
      <c r="C25" s="2">
        <v>1.3069999999999995</v>
      </c>
      <c r="D25" s="2">
        <v>0.41999999999999993</v>
      </c>
      <c r="E25" s="38">
        <f t="shared" si="0"/>
        <v>1.3732042983474815</v>
      </c>
      <c r="F25" s="38">
        <f t="shared" si="1"/>
        <v>1.8856900449999989</v>
      </c>
    </row>
    <row r="26" spans="1:12" x14ac:dyDescent="0.25">
      <c r="A26">
        <v>2</v>
      </c>
      <c r="B26">
        <v>5</v>
      </c>
      <c r="C26" s="2">
        <v>1.1299999999999999</v>
      </c>
      <c r="D26" s="2">
        <v>0.40799999999999947</v>
      </c>
      <c r="E26" s="38">
        <f t="shared" si="0"/>
        <v>1.2017809887828976</v>
      </c>
      <c r="F26" s="38">
        <f t="shared" si="1"/>
        <v>1.4442775449999992</v>
      </c>
    </row>
    <row r="27" spans="1:12" x14ac:dyDescent="0.25">
      <c r="A27">
        <v>2</v>
      </c>
      <c r="B27">
        <v>6</v>
      </c>
      <c r="C27" s="2">
        <v>-1.5000000000000124E-2</v>
      </c>
      <c r="D27" s="2">
        <v>0.58899999999999952</v>
      </c>
      <c r="E27" s="38">
        <f t="shared" si="0"/>
        <v>0.5893321177400731</v>
      </c>
      <c r="F27" s="38">
        <f t="shared" si="1"/>
        <v>0.34731234499999941</v>
      </c>
    </row>
    <row r="28" spans="1:12" x14ac:dyDescent="0.25">
      <c r="A28">
        <v>2</v>
      </c>
      <c r="B28">
        <v>7</v>
      </c>
      <c r="C28" s="2">
        <v>-0.31899999999999995</v>
      </c>
      <c r="D28" s="2">
        <v>0.77099999999999991</v>
      </c>
      <c r="E28" s="38">
        <f t="shared" si="0"/>
        <v>0.83439208109856833</v>
      </c>
      <c r="F28" s="38">
        <f t="shared" si="1"/>
        <v>0.69621014499999978</v>
      </c>
    </row>
    <row r="29" spans="1:12" x14ac:dyDescent="0.25">
      <c r="A29">
        <v>2</v>
      </c>
      <c r="B29">
        <v>8</v>
      </c>
      <c r="C29" s="2">
        <v>-0.46200000000000019</v>
      </c>
      <c r="D29" s="2">
        <v>0.58499999999999996</v>
      </c>
      <c r="E29" s="38">
        <f t="shared" si="0"/>
        <v>0.7453329759241839</v>
      </c>
      <c r="F29" s="38">
        <f t="shared" si="1"/>
        <v>0.55552124500000011</v>
      </c>
    </row>
    <row r="30" spans="1:12" x14ac:dyDescent="0.25">
      <c r="A30">
        <v>2</v>
      </c>
      <c r="B30">
        <v>9</v>
      </c>
      <c r="C30" s="2">
        <v>-1.0409999999999999</v>
      </c>
      <c r="D30" s="2">
        <v>0.3360000000000003</v>
      </c>
      <c r="E30" s="38">
        <f t="shared" si="0"/>
        <v>1.0935946438237525</v>
      </c>
      <c r="F30" s="38">
        <f t="shared" si="1"/>
        <v>1.195949245</v>
      </c>
    </row>
    <row r="31" spans="1:12" x14ac:dyDescent="0.25">
      <c r="A31">
        <v>2</v>
      </c>
      <c r="B31">
        <v>10</v>
      </c>
      <c r="C31" s="2">
        <v>-0.64000000000000012</v>
      </c>
      <c r="D31" s="2">
        <v>-0.17900000000000027</v>
      </c>
      <c r="E31" s="38">
        <f t="shared" si="0"/>
        <v>0.66418329171998924</v>
      </c>
      <c r="F31" s="38">
        <f t="shared" si="1"/>
        <v>0.44113944500000035</v>
      </c>
    </row>
    <row r="32" spans="1:12" x14ac:dyDescent="0.25">
      <c r="A32">
        <v>2</v>
      </c>
      <c r="B32">
        <v>11</v>
      </c>
      <c r="C32" s="2">
        <v>4.0000000000000036E-2</v>
      </c>
      <c r="D32" s="2">
        <v>-0.25999999999999979</v>
      </c>
      <c r="E32" s="38">
        <f t="shared" si="0"/>
        <v>0.26296415154921765</v>
      </c>
      <c r="F32" s="38">
        <f t="shared" si="1"/>
        <v>6.9150144999999913E-2</v>
      </c>
    </row>
    <row r="33" spans="1:6" x14ac:dyDescent="0.25">
      <c r="A33">
        <v>2</v>
      </c>
      <c r="B33">
        <v>12</v>
      </c>
      <c r="C33" s="2">
        <v>0.69899999999999984</v>
      </c>
      <c r="D33" s="2">
        <v>0.15799999999999947</v>
      </c>
      <c r="E33" s="38">
        <f t="shared" si="0"/>
        <v>0.71700895740569348</v>
      </c>
      <c r="F33" s="38">
        <f t="shared" si="1"/>
        <v>0.51410184499999956</v>
      </c>
    </row>
    <row r="34" spans="1:6" x14ac:dyDescent="0.25">
      <c r="A34">
        <v>2</v>
      </c>
      <c r="B34">
        <v>13</v>
      </c>
      <c r="C34" s="2">
        <v>-0.18800000000000017</v>
      </c>
      <c r="D34" s="2">
        <v>-0.67400000000000038</v>
      </c>
      <c r="E34" s="38">
        <f t="shared" si="0"/>
        <v>0.69949006068706987</v>
      </c>
      <c r="F34" s="38">
        <f t="shared" si="1"/>
        <v>0.48928634500000068</v>
      </c>
    </row>
    <row r="35" spans="1:6" x14ac:dyDescent="0.25">
      <c r="A35">
        <v>2</v>
      </c>
      <c r="B35">
        <v>14</v>
      </c>
      <c r="C35" s="2">
        <v>3.2000000000000028E-2</v>
      </c>
      <c r="D35" s="2">
        <v>-0.83400000000000052</v>
      </c>
      <c r="E35" s="38">
        <f t="shared" si="0"/>
        <v>0.83447728848663161</v>
      </c>
      <c r="F35" s="38">
        <f t="shared" si="1"/>
        <v>0.69635234500000098</v>
      </c>
    </row>
    <row r="36" spans="1:6" x14ac:dyDescent="0.25">
      <c r="A36">
        <v>2</v>
      </c>
      <c r="B36">
        <v>15</v>
      </c>
      <c r="C36" s="2">
        <v>0.24299999999999988</v>
      </c>
      <c r="D36" s="2">
        <v>-0.79600000000000026</v>
      </c>
      <c r="E36" s="38">
        <f t="shared" si="0"/>
        <v>0.83222379502150767</v>
      </c>
      <c r="F36" s="38">
        <f t="shared" si="1"/>
        <v>0.69259644500000039</v>
      </c>
    </row>
    <row r="37" spans="1:6" x14ac:dyDescent="0.25">
      <c r="A37">
        <v>2</v>
      </c>
      <c r="B37">
        <v>16</v>
      </c>
      <c r="C37" s="2">
        <v>0.496</v>
      </c>
      <c r="D37" s="2">
        <v>-0.84299999999999997</v>
      </c>
      <c r="E37" s="38">
        <f t="shared" si="0"/>
        <v>0.97814081041535117</v>
      </c>
      <c r="F37" s="38">
        <f t="shared" si="1"/>
        <v>0.95675944499999999</v>
      </c>
    </row>
    <row r="38" spans="1:6" x14ac:dyDescent="0.25">
      <c r="A38">
        <v>2</v>
      </c>
      <c r="B38">
        <v>17</v>
      </c>
      <c r="C38" s="2">
        <v>0.73299999999999965</v>
      </c>
      <c r="D38" s="2">
        <v>-0.9610000000000003</v>
      </c>
      <c r="E38" s="38">
        <f t="shared" si="0"/>
        <v>1.2087327847791671</v>
      </c>
      <c r="F38" s="38">
        <f t="shared" si="1"/>
        <v>1.4610349450000004</v>
      </c>
    </row>
    <row r="39" spans="1:6" x14ac:dyDescent="0.25">
      <c r="A39">
        <v>2</v>
      </c>
      <c r="B39">
        <v>18</v>
      </c>
      <c r="C39" s="2">
        <v>0.60599999999999987</v>
      </c>
      <c r="D39" s="2">
        <v>-1.4720000000000004</v>
      </c>
      <c r="E39" s="38">
        <f t="shared" si="0"/>
        <v>1.5918551268881227</v>
      </c>
      <c r="F39" s="38">
        <f t="shared" si="1"/>
        <v>2.5340027450000013</v>
      </c>
    </row>
    <row r="40" spans="1:6" x14ac:dyDescent="0.25">
      <c r="A40">
        <v>2</v>
      </c>
      <c r="B40">
        <v>19</v>
      </c>
      <c r="C40" s="2">
        <v>-0.89300000000000024</v>
      </c>
      <c r="D40" s="2">
        <v>-1.2690000000000001</v>
      </c>
      <c r="E40" s="38">
        <f t="shared" si="0"/>
        <v>1.551387877031402</v>
      </c>
      <c r="F40" s="38">
        <f t="shared" si="1"/>
        <v>2.4068043450000007</v>
      </c>
    </row>
    <row r="41" spans="1:6" x14ac:dyDescent="0.25">
      <c r="A41">
        <v>2</v>
      </c>
      <c r="B41">
        <v>20</v>
      </c>
      <c r="C41" s="2">
        <v>-4.0000000000000036E-2</v>
      </c>
      <c r="D41" s="2">
        <v>0.58499999999999996</v>
      </c>
      <c r="E41" s="38">
        <f t="shared" si="0"/>
        <v>0.58649181153704089</v>
      </c>
      <c r="F41" s="38">
        <f t="shared" si="1"/>
        <v>0.34397264499999991</v>
      </c>
    </row>
  </sheetData>
  <mergeCells count="1">
    <mergeCell ref="K13:L1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26"/>
  <sheetViews>
    <sheetView workbookViewId="0">
      <selection activeCell="H9" sqref="H9"/>
    </sheetView>
  </sheetViews>
  <sheetFormatPr defaultRowHeight="13.2" x14ac:dyDescent="0.25"/>
  <cols>
    <col min="5" max="5" width="5.77734375" bestFit="1" customWidth="1"/>
  </cols>
  <sheetData>
    <row r="1" spans="1:8" ht="39.6" x14ac:dyDescent="0.25">
      <c r="B1" s="30" t="s">
        <v>27</v>
      </c>
      <c r="C1" s="31" t="s">
        <v>28</v>
      </c>
      <c r="E1" s="44" t="s">
        <v>23</v>
      </c>
      <c r="F1" s="44"/>
      <c r="G1" s="27"/>
      <c r="H1" s="27"/>
    </row>
    <row r="2" spans="1:8" ht="13.8" thickBot="1" x14ac:dyDescent="0.3">
      <c r="A2">
        <v>1</v>
      </c>
      <c r="B2" s="2">
        <v>1151</v>
      </c>
      <c r="C2" s="3">
        <f t="shared" ref="C2:C26" si="0">$G$6*B2+$G$7</f>
        <v>1.7000000000000028</v>
      </c>
      <c r="E2" s="1" t="s">
        <v>29</v>
      </c>
      <c r="F2" s="32">
        <f>AVERAGE(B:B)</f>
        <v>1191.8399999999999</v>
      </c>
      <c r="G2" s="28"/>
      <c r="H2" s="28"/>
    </row>
    <row r="3" spans="1:8" ht="13.8" customHeight="1" thickTop="1" thickBot="1" x14ac:dyDescent="0.3">
      <c r="A3">
        <v>2</v>
      </c>
      <c r="B3" s="2">
        <v>1202</v>
      </c>
      <c r="C3" s="3">
        <f t="shared" si="0"/>
        <v>0.66785714285714448</v>
      </c>
      <c r="E3" s="1" t="s">
        <v>5</v>
      </c>
      <c r="F3" s="33">
        <f>STDEV(B:B)</f>
        <v>20.179775353886708</v>
      </c>
      <c r="G3" s="46" t="s">
        <v>34</v>
      </c>
      <c r="H3" s="46"/>
    </row>
    <row r="4" spans="1:8" ht="13.2" customHeight="1" thickTop="1" thickBot="1" x14ac:dyDescent="0.3">
      <c r="A4">
        <v>3</v>
      </c>
      <c r="B4" s="2">
        <v>1196</v>
      </c>
      <c r="C4" s="3">
        <f t="shared" si="0"/>
        <v>0.78928571428571459</v>
      </c>
      <c r="E4" s="1" t="s">
        <v>30</v>
      </c>
      <c r="F4" s="34">
        <f>MAX(B:B)</f>
        <v>1235</v>
      </c>
      <c r="G4" s="29">
        <v>12.1</v>
      </c>
      <c r="H4" s="45" t="s">
        <v>33</v>
      </c>
    </row>
    <row r="5" spans="1:8" ht="14.4" thickTop="1" thickBot="1" x14ac:dyDescent="0.3">
      <c r="A5">
        <v>4</v>
      </c>
      <c r="B5" s="2">
        <v>1203</v>
      </c>
      <c r="C5" s="3">
        <f t="shared" si="0"/>
        <v>0.64761904761904887</v>
      </c>
      <c r="E5" s="1" t="s">
        <v>31</v>
      </c>
      <c r="F5" s="34">
        <f>MIN(B:B)</f>
        <v>1151</v>
      </c>
      <c r="G5" s="29">
        <v>13.8</v>
      </c>
      <c r="H5" s="45"/>
    </row>
    <row r="6" spans="1:8" ht="13.8" thickTop="1" x14ac:dyDescent="0.25">
      <c r="A6">
        <v>5</v>
      </c>
      <c r="B6" s="2">
        <v>1213</v>
      </c>
      <c r="C6" s="3">
        <f t="shared" si="0"/>
        <v>0.44523809523809632</v>
      </c>
      <c r="G6" s="26">
        <f>(G4-G5)/(F4-F5)</f>
        <v>-2.0238095238095249E-2</v>
      </c>
      <c r="H6" s="26" t="s">
        <v>25</v>
      </c>
    </row>
    <row r="7" spans="1:8" x14ac:dyDescent="0.25">
      <c r="A7">
        <v>6</v>
      </c>
      <c r="B7" s="2">
        <v>1177</v>
      </c>
      <c r="C7" s="3">
        <f t="shared" si="0"/>
        <v>1.1738095238095276</v>
      </c>
      <c r="G7" s="23">
        <f>-G6*F4</f>
        <v>24.994047619047635</v>
      </c>
      <c r="H7" s="23" t="s">
        <v>26</v>
      </c>
    </row>
    <row r="8" spans="1:8" ht="13.8" thickBot="1" x14ac:dyDescent="0.3">
      <c r="A8">
        <v>7</v>
      </c>
      <c r="B8" s="2">
        <v>1178</v>
      </c>
      <c r="C8" s="3">
        <f t="shared" si="0"/>
        <v>1.153571428571432</v>
      </c>
    </row>
    <row r="9" spans="1:8" ht="13.8" thickBot="1" x14ac:dyDescent="0.3">
      <c r="A9">
        <v>8</v>
      </c>
      <c r="B9" s="2">
        <v>1184</v>
      </c>
      <c r="C9" s="3">
        <f t="shared" si="0"/>
        <v>1.0321428571428584</v>
      </c>
      <c r="G9" s="36">
        <f>VAR(C:C)</f>
        <v>0.1667907360166295</v>
      </c>
      <c r="H9" s="35" t="s">
        <v>32</v>
      </c>
    </row>
    <row r="10" spans="1:8" x14ac:dyDescent="0.25">
      <c r="A10">
        <v>9</v>
      </c>
      <c r="B10" s="2">
        <v>1173</v>
      </c>
      <c r="C10" s="3">
        <f t="shared" si="0"/>
        <v>1.2547619047619065</v>
      </c>
    </row>
    <row r="11" spans="1:8" x14ac:dyDescent="0.25">
      <c r="A11">
        <v>10</v>
      </c>
      <c r="B11" s="2">
        <v>1193</v>
      </c>
      <c r="C11" s="3">
        <f t="shared" si="0"/>
        <v>0.85000000000000142</v>
      </c>
    </row>
    <row r="12" spans="1:8" x14ac:dyDescent="0.25">
      <c r="A12">
        <v>11</v>
      </c>
      <c r="B12" s="2">
        <v>1202</v>
      </c>
      <c r="C12" s="3">
        <f t="shared" si="0"/>
        <v>0.66785714285714448</v>
      </c>
    </row>
    <row r="13" spans="1:8" x14ac:dyDescent="0.25">
      <c r="A13">
        <v>12</v>
      </c>
      <c r="B13" s="2">
        <v>1168</v>
      </c>
      <c r="C13" s="3">
        <f t="shared" si="0"/>
        <v>1.3559523809523846</v>
      </c>
    </row>
    <row r="14" spans="1:8" x14ac:dyDescent="0.25">
      <c r="A14">
        <v>13</v>
      </c>
      <c r="B14" s="2">
        <v>1203</v>
      </c>
      <c r="C14" s="3">
        <f t="shared" si="0"/>
        <v>0.64761904761904887</v>
      </c>
    </row>
    <row r="15" spans="1:8" x14ac:dyDescent="0.25">
      <c r="A15">
        <v>14</v>
      </c>
      <c r="B15" s="2">
        <v>1162</v>
      </c>
      <c r="C15" s="3">
        <f t="shared" si="0"/>
        <v>1.4773809523809547</v>
      </c>
    </row>
    <row r="16" spans="1:8" x14ac:dyDescent="0.25">
      <c r="A16">
        <v>15</v>
      </c>
      <c r="B16" s="2">
        <v>1172</v>
      </c>
      <c r="C16" s="3">
        <f t="shared" si="0"/>
        <v>1.2750000000000021</v>
      </c>
    </row>
    <row r="17" spans="1:3" x14ac:dyDescent="0.25">
      <c r="A17">
        <v>16</v>
      </c>
      <c r="B17" s="2">
        <v>1209</v>
      </c>
      <c r="C17" s="3">
        <f t="shared" si="0"/>
        <v>0.52619047619047876</v>
      </c>
    </row>
    <row r="18" spans="1:3" x14ac:dyDescent="0.25">
      <c r="A18">
        <v>17</v>
      </c>
      <c r="B18" s="2">
        <v>1193</v>
      </c>
      <c r="C18" s="3">
        <f t="shared" si="0"/>
        <v>0.85000000000000142</v>
      </c>
    </row>
    <row r="19" spans="1:3" x14ac:dyDescent="0.25">
      <c r="A19">
        <v>18</v>
      </c>
      <c r="B19" s="2">
        <v>1186</v>
      </c>
      <c r="C19" s="3">
        <f t="shared" si="0"/>
        <v>0.99166666666666714</v>
      </c>
    </row>
    <row r="20" spans="1:3" x14ac:dyDescent="0.25">
      <c r="A20">
        <v>19</v>
      </c>
      <c r="B20" s="2">
        <v>1190</v>
      </c>
      <c r="C20" s="3">
        <f t="shared" si="0"/>
        <v>0.91071428571428825</v>
      </c>
    </row>
    <row r="21" spans="1:3" x14ac:dyDescent="0.25">
      <c r="A21">
        <v>20</v>
      </c>
      <c r="B21" s="2">
        <v>1223</v>
      </c>
      <c r="C21" s="3">
        <f t="shared" si="0"/>
        <v>0.24285714285714377</v>
      </c>
    </row>
    <row r="22" spans="1:3" x14ac:dyDescent="0.25">
      <c r="A22">
        <v>21</v>
      </c>
      <c r="B22" s="2">
        <v>1183</v>
      </c>
      <c r="C22" s="3">
        <f t="shared" si="0"/>
        <v>1.052380952380954</v>
      </c>
    </row>
    <row r="23" spans="1:3" x14ac:dyDescent="0.25">
      <c r="A23">
        <v>22</v>
      </c>
      <c r="B23" s="2">
        <v>1235</v>
      </c>
      <c r="C23" s="3">
        <f t="shared" si="0"/>
        <v>0</v>
      </c>
    </row>
    <row r="24" spans="1:3" x14ac:dyDescent="0.25">
      <c r="A24">
        <v>23</v>
      </c>
      <c r="B24" s="2">
        <v>1200</v>
      </c>
      <c r="C24" s="3">
        <f t="shared" si="0"/>
        <v>0.7083333333333357</v>
      </c>
    </row>
    <row r="25" spans="1:3" x14ac:dyDescent="0.25">
      <c r="A25">
        <v>24</v>
      </c>
      <c r="B25" s="2">
        <v>1223</v>
      </c>
      <c r="C25" s="3">
        <f t="shared" si="0"/>
        <v>0.24285714285714377</v>
      </c>
    </row>
    <row r="26" spans="1:3" x14ac:dyDescent="0.25">
      <c r="A26">
        <v>25</v>
      </c>
      <c r="B26" s="2">
        <v>1177</v>
      </c>
      <c r="C26" s="3">
        <f t="shared" si="0"/>
        <v>1.1738095238095276</v>
      </c>
    </row>
  </sheetData>
  <mergeCells count="3">
    <mergeCell ref="E1:F1"/>
    <mergeCell ref="H4:H5"/>
    <mergeCell ref="G3:H3"/>
  </mergeCells>
  <pageMargins left="0.7" right="0.7" top="0.75" bottom="0.75" header="0.3" footer="0.3"/>
  <pageSetup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1"/>
  <sheetViews>
    <sheetView workbookViewId="0">
      <selection activeCell="L14" sqref="L14"/>
    </sheetView>
  </sheetViews>
  <sheetFormatPr defaultRowHeight="13.2" x14ac:dyDescent="0.25"/>
  <sheetData>
    <row r="1" spans="1:20" x14ac:dyDescent="0.25">
      <c r="A1" t="s">
        <v>21</v>
      </c>
      <c r="B1" t="s">
        <v>7</v>
      </c>
      <c r="C1" s="7" t="s">
        <v>0</v>
      </c>
      <c r="D1" s="40" t="s">
        <v>37</v>
      </c>
      <c r="E1" s="7" t="s">
        <v>3</v>
      </c>
      <c r="F1" s="7" t="s">
        <v>6</v>
      </c>
      <c r="J1" s="7" t="s">
        <v>0</v>
      </c>
      <c r="K1" s="7" t="s">
        <v>1</v>
      </c>
      <c r="P1" s="40" t="s">
        <v>39</v>
      </c>
      <c r="Q1" s="40" t="s">
        <v>37</v>
      </c>
      <c r="S1" s="41">
        <v>0.1667907360166295</v>
      </c>
      <c r="T1" t="s">
        <v>32</v>
      </c>
    </row>
    <row r="2" spans="1:20" x14ac:dyDescent="0.25">
      <c r="A2">
        <v>1</v>
      </c>
      <c r="B2">
        <v>1</v>
      </c>
      <c r="C2" s="2">
        <v>-1.1679999999999997</v>
      </c>
      <c r="D2" s="42">
        <f>Q2</f>
        <v>1.2611057647478254</v>
      </c>
      <c r="E2" s="38">
        <f t="shared" ref="E2:E41" si="0">SQRT(POWER(C2-$J$2,2)+POWER(D2-$K$2,2))</f>
        <v>1.7187585633154707</v>
      </c>
      <c r="F2" s="38">
        <f>E2*E2</f>
        <v>2.9541309989702609</v>
      </c>
      <c r="I2" s="1" t="s">
        <v>2</v>
      </c>
      <c r="J2" s="38">
        <f>AVERAGE(C:C)</f>
        <v>-3.5000000000000585E-4</v>
      </c>
      <c r="K2" s="38">
        <f>AVERAGE(D:D)</f>
        <v>-1.3349743451810948E-4</v>
      </c>
      <c r="P2" s="2">
        <v>1.4170000000000003</v>
      </c>
      <c r="Q2" s="38">
        <f t="shared" ref="Q2:Q41" si="1">SQRT(1-$S$1)*P2/$S$5</f>
        <v>1.2611057647478254</v>
      </c>
      <c r="S2" s="37">
        <f>VAR(P:P)</f>
        <v>0.79185064358974344</v>
      </c>
      <c r="T2" t="s">
        <v>35</v>
      </c>
    </row>
    <row r="3" spans="1:20" ht="13.8" customHeight="1" x14ac:dyDescent="0.25">
      <c r="A3">
        <v>1</v>
      </c>
      <c r="B3">
        <v>2</v>
      </c>
      <c r="C3" s="2">
        <v>0.27000000000000046</v>
      </c>
      <c r="D3" s="42">
        <f t="shared" ref="D3:D41" si="2">Q3</f>
        <v>1.2192765685988149</v>
      </c>
      <c r="E3" s="38">
        <f t="shared" si="0"/>
        <v>1.2490196282058255</v>
      </c>
      <c r="F3" s="38">
        <f t="shared" ref="F3:F11" si="3">E3*E3</f>
        <v>1.5600500316434185</v>
      </c>
      <c r="I3" s="1" t="s">
        <v>4</v>
      </c>
      <c r="J3" s="3">
        <f>MAX(C:C)-MIN(C:C)</f>
        <v>3.2809999999999997</v>
      </c>
      <c r="K3" s="38">
        <f>MAX(D:D)-MIN(D:D)</f>
        <v>3.6898690900807924</v>
      </c>
      <c r="P3" s="2">
        <v>1.37</v>
      </c>
      <c r="Q3" s="38">
        <f t="shared" si="1"/>
        <v>1.2192765685988149</v>
      </c>
      <c r="S3" s="37">
        <f>S2-S1</f>
        <v>0.62505990757311392</v>
      </c>
      <c r="T3" t="s">
        <v>36</v>
      </c>
    </row>
    <row r="4" spans="1:20" ht="13.2" customHeight="1" x14ac:dyDescent="0.25">
      <c r="A4">
        <v>1</v>
      </c>
      <c r="B4">
        <v>3</v>
      </c>
      <c r="C4" s="2">
        <v>-0.22699999999999987</v>
      </c>
      <c r="D4" s="42">
        <f t="shared" si="2"/>
        <v>0.98521106674371406</v>
      </c>
      <c r="E4" s="38">
        <f t="shared" si="0"/>
        <v>1.0110757304255653</v>
      </c>
      <c r="F4" s="38">
        <f t="shared" si="3"/>
        <v>1.0222741326555904</v>
      </c>
      <c r="I4" s="1" t="s">
        <v>5</v>
      </c>
      <c r="J4" s="39">
        <f>STDEV(C:C)</f>
        <v>0.77897600601605044</v>
      </c>
      <c r="K4" s="39">
        <f>STDEV(D:D)</f>
        <v>0.79196009251799826</v>
      </c>
      <c r="P4" s="2">
        <v>1.1070000000000002</v>
      </c>
      <c r="Q4" s="38">
        <f t="shared" si="1"/>
        <v>0.98521106674371406</v>
      </c>
      <c r="S4" s="3">
        <f>COUNT(P:P)</f>
        <v>40</v>
      </c>
    </row>
    <row r="5" spans="1:20" x14ac:dyDescent="0.25">
      <c r="A5">
        <v>1</v>
      </c>
      <c r="B5">
        <v>4</v>
      </c>
      <c r="C5" s="2">
        <v>0.28800000000000026</v>
      </c>
      <c r="D5" s="42">
        <f t="shared" si="2"/>
        <v>0.7769550688954493</v>
      </c>
      <c r="E5" s="38">
        <f t="shared" si="0"/>
        <v>0.82886208890307211</v>
      </c>
      <c r="F5" s="38">
        <f t="shared" si="3"/>
        <v>0.68701236242076424</v>
      </c>
      <c r="I5" s="4" t="s">
        <v>12</v>
      </c>
      <c r="J5" s="39">
        <f>VAR(C:C)</f>
        <v>0.60680361794871784</v>
      </c>
      <c r="K5" s="39">
        <f>VAR(D:D)</f>
        <v>0.62720078814111635</v>
      </c>
      <c r="P5" s="2">
        <v>0.87300000000000022</v>
      </c>
      <c r="Q5" s="38">
        <f t="shared" si="1"/>
        <v>0.7769550688954493</v>
      </c>
      <c r="S5" s="3">
        <f>S4/(S4-1)</f>
        <v>1.0256410256410255</v>
      </c>
      <c r="T5" t="s">
        <v>38</v>
      </c>
    </row>
    <row r="6" spans="1:20" x14ac:dyDescent="0.25">
      <c r="A6">
        <v>1</v>
      </c>
      <c r="B6">
        <v>5</v>
      </c>
      <c r="C6" s="2">
        <v>-0.27899999999999991</v>
      </c>
      <c r="D6" s="42">
        <f t="shared" si="2"/>
        <v>0.66214727520986749</v>
      </c>
      <c r="E6" s="38">
        <f t="shared" si="0"/>
        <v>0.71851349626464511</v>
      </c>
      <c r="F6" s="38">
        <f t="shared" si="3"/>
        <v>0.51626164431444421</v>
      </c>
      <c r="I6" s="4"/>
      <c r="P6" s="2">
        <v>0.74400000000000022</v>
      </c>
      <c r="Q6" s="38">
        <f t="shared" si="1"/>
        <v>0.66214727520986749</v>
      </c>
    </row>
    <row r="7" spans="1:20" x14ac:dyDescent="0.25">
      <c r="A7">
        <v>1</v>
      </c>
      <c r="B7">
        <v>6</v>
      </c>
      <c r="C7" s="2">
        <v>-0.27400000000000002</v>
      </c>
      <c r="D7" s="42">
        <f t="shared" si="2"/>
        <v>0.39159247458648061</v>
      </c>
      <c r="E7" s="38">
        <f t="shared" si="0"/>
        <v>0.47784260971139469</v>
      </c>
      <c r="F7" s="38">
        <f t="shared" si="3"/>
        <v>0.22833355965579627</v>
      </c>
      <c r="P7" s="2">
        <v>0.43999999999999995</v>
      </c>
      <c r="Q7" s="38">
        <f t="shared" si="1"/>
        <v>0.39159247458648061</v>
      </c>
    </row>
    <row r="8" spans="1:20" x14ac:dyDescent="0.25">
      <c r="A8">
        <v>1</v>
      </c>
      <c r="B8">
        <v>7</v>
      </c>
      <c r="C8" s="2">
        <v>-1.6829999999999998</v>
      </c>
      <c r="D8" s="42">
        <f t="shared" si="2"/>
        <v>-2.491952111004879E-2</v>
      </c>
      <c r="E8" s="38">
        <f t="shared" si="0"/>
        <v>1.682832543502069</v>
      </c>
      <c r="F8" s="38">
        <f t="shared" si="3"/>
        <v>2.8319253694696429</v>
      </c>
      <c r="I8" s="6" t="s">
        <v>8</v>
      </c>
      <c r="J8" s="9">
        <f>SQRT(J3*J3+K3*K3)</f>
        <v>4.9376203683488722</v>
      </c>
      <c r="L8" s="24" t="s">
        <v>24</v>
      </c>
      <c r="M8" s="25">
        <f>3600*TAN(RADIANS(1/60))</f>
        <v>1.0471975807331373</v>
      </c>
      <c r="P8" s="2">
        <v>-2.8000000000000025E-2</v>
      </c>
      <c r="Q8" s="38">
        <f t="shared" si="1"/>
        <v>-2.491952111004879E-2</v>
      </c>
    </row>
    <row r="9" spans="1:20" x14ac:dyDescent="0.25">
      <c r="A9">
        <v>1</v>
      </c>
      <c r="B9">
        <v>8</v>
      </c>
      <c r="C9" s="2">
        <v>-1.2789999999999999</v>
      </c>
      <c r="D9" s="42">
        <f t="shared" si="2"/>
        <v>-0.21715582681613907</v>
      </c>
      <c r="E9" s="38">
        <f t="shared" si="0"/>
        <v>1.2969365882533441</v>
      </c>
      <c r="F9" s="38">
        <f t="shared" si="3"/>
        <v>1.6820445139502243</v>
      </c>
      <c r="I9" s="8" t="s">
        <v>9</v>
      </c>
      <c r="J9" s="10">
        <f>AVERAGE(J3:K3)</f>
        <v>3.4854345450403961</v>
      </c>
      <c r="P9" s="2">
        <v>-0.24399999999999977</v>
      </c>
      <c r="Q9" s="38">
        <f t="shared" si="1"/>
        <v>-0.21715582681613907</v>
      </c>
    </row>
    <row r="10" spans="1:20" x14ac:dyDescent="0.25">
      <c r="A10">
        <v>1</v>
      </c>
      <c r="B10">
        <v>9</v>
      </c>
      <c r="C10" s="2">
        <v>-0.31400000000000006</v>
      </c>
      <c r="D10" s="42">
        <f t="shared" si="2"/>
        <v>-0.24830522820370013</v>
      </c>
      <c r="E10" s="38">
        <f t="shared" si="0"/>
        <v>0.39995691074535944</v>
      </c>
      <c r="F10" s="38">
        <f t="shared" si="3"/>
        <v>0.15996553045297141</v>
      </c>
      <c r="P10" s="2">
        <v>-0.27899999999999991</v>
      </c>
      <c r="Q10" s="38">
        <f t="shared" si="1"/>
        <v>-0.24830522820370013</v>
      </c>
    </row>
    <row r="11" spans="1:20" x14ac:dyDescent="0.25">
      <c r="A11">
        <v>1</v>
      </c>
      <c r="B11">
        <v>10</v>
      </c>
      <c r="C11" s="2">
        <v>-0.2849999999999997</v>
      </c>
      <c r="D11" s="42">
        <f t="shared" si="2"/>
        <v>-0.35777312450855708</v>
      </c>
      <c r="E11" s="38">
        <f t="shared" si="0"/>
        <v>0.45709050017874742</v>
      </c>
      <c r="F11" s="38">
        <f t="shared" si="3"/>
        <v>0.2089317253536575</v>
      </c>
      <c r="I11" s="1" t="s">
        <v>10</v>
      </c>
      <c r="J11" s="13">
        <f>COUNT(E:E)</f>
        <v>40</v>
      </c>
      <c r="K11" s="1" t="s">
        <v>16</v>
      </c>
      <c r="L11" s="13">
        <f>2*J11-2</f>
        <v>78</v>
      </c>
      <c r="P11" s="2">
        <v>-0.40199999999999969</v>
      </c>
      <c r="Q11" s="38">
        <f t="shared" si="1"/>
        <v>-0.35777312450855708</v>
      </c>
    </row>
    <row r="12" spans="1:20" x14ac:dyDescent="0.25">
      <c r="A12">
        <v>1</v>
      </c>
      <c r="B12">
        <v>11</v>
      </c>
      <c r="C12" s="2">
        <v>8.3000000000000185E-2</v>
      </c>
      <c r="D12" s="42">
        <f t="shared" si="2"/>
        <v>-0.38892252589611814</v>
      </c>
      <c r="E12" s="38">
        <f t="shared" si="0"/>
        <v>0.39762310188432826</v>
      </c>
      <c r="F12" s="38">
        <f t="shared" ref="F12:F41" si="4">E12*E12</f>
        <v>0.15810413115211489</v>
      </c>
      <c r="I12" s="1" t="s">
        <v>11</v>
      </c>
      <c r="J12" s="14">
        <f>1/EXP(LN(SQRT(2/(2*J11-2)))+GAMMALN((2*J11-1)/2)-GAMMALN((2*J11-2)/2))</f>
        <v>1.0032101820539403</v>
      </c>
      <c r="P12" s="2">
        <v>-0.43699999999999983</v>
      </c>
      <c r="Q12" s="38">
        <f t="shared" si="1"/>
        <v>-0.38892252589611814</v>
      </c>
    </row>
    <row r="13" spans="1:20" x14ac:dyDescent="0.25">
      <c r="A13">
        <v>1</v>
      </c>
      <c r="B13">
        <v>12</v>
      </c>
      <c r="C13" s="2">
        <v>1.9000000000000128E-2</v>
      </c>
      <c r="D13" s="42">
        <f t="shared" si="2"/>
        <v>0.13705736610526856</v>
      </c>
      <c r="E13" s="38">
        <f t="shared" si="0"/>
        <v>0.13854874787883278</v>
      </c>
      <c r="F13" s="38">
        <f t="shared" si="4"/>
        <v>1.919575553879237E-2</v>
      </c>
      <c r="K13" s="43" t="s">
        <v>15</v>
      </c>
      <c r="L13" s="43"/>
      <c r="M13" s="11">
        <v>0.95</v>
      </c>
      <c r="P13" s="2">
        <v>0.15400000000000036</v>
      </c>
      <c r="Q13" s="38">
        <f t="shared" si="1"/>
        <v>0.13705736610526856</v>
      </c>
    </row>
    <row r="14" spans="1:20" x14ac:dyDescent="0.25">
      <c r="A14">
        <v>1</v>
      </c>
      <c r="B14">
        <v>13</v>
      </c>
      <c r="C14" s="2">
        <v>0.22900000000000009</v>
      </c>
      <c r="D14" s="42">
        <f t="shared" si="2"/>
        <v>3.8269264561860743E-2</v>
      </c>
      <c r="E14" s="38">
        <f t="shared" si="0"/>
        <v>0.23254288771955717</v>
      </c>
      <c r="F14" s="38">
        <f t="shared" si="4"/>
        <v>5.4076194628950573E-2</v>
      </c>
      <c r="H14" s="22" t="s">
        <v>24</v>
      </c>
      <c r="I14" s="5" t="s">
        <v>14</v>
      </c>
      <c r="J14" s="17">
        <f>AVERAGE(J5:K5)</f>
        <v>0.61700220304491715</v>
      </c>
      <c r="K14" s="16">
        <f>$L$11*$J$14/CHIINV((1-$M$13)/2,$L$11)</f>
        <v>0.46135013339958375</v>
      </c>
      <c r="L14" s="16">
        <f>$L$11*$J$14/CHIINV(0.5+$M$13/2,$L$11)</f>
        <v>0.86767564335270631</v>
      </c>
      <c r="M14">
        <f>$L$11*$J$14/CHIINV((1+$M$13)/2,$L$11)</f>
        <v>0.86767564335270631</v>
      </c>
      <c r="P14" s="2">
        <v>4.3000000000000149E-2</v>
      </c>
      <c r="Q14" s="38">
        <f t="shared" si="1"/>
        <v>3.8269264561860743E-2</v>
      </c>
    </row>
    <row r="15" spans="1:20" x14ac:dyDescent="0.25">
      <c r="A15">
        <v>1</v>
      </c>
      <c r="B15">
        <v>14</v>
      </c>
      <c r="C15" s="2">
        <v>0.24699999999999989</v>
      </c>
      <c r="D15" s="42">
        <f t="shared" si="2"/>
        <v>0.23584546764867598</v>
      </c>
      <c r="E15" s="38">
        <f t="shared" si="0"/>
        <v>0.34185975847083155</v>
      </c>
      <c r="F15" s="38">
        <f t="shared" si="4"/>
        <v>0.11686809446173528</v>
      </c>
      <c r="H15" s="21">
        <f>J15/$M$8</f>
        <v>0.75250026724204255</v>
      </c>
      <c r="I15" s="15" t="s">
        <v>13</v>
      </c>
      <c r="J15" s="18">
        <f>J12*SQRT(J14)</f>
        <v>0.78801645935690623</v>
      </c>
      <c r="K15" s="16">
        <f>$J$12*SQRT(K14)</f>
        <v>0.68140804484124851</v>
      </c>
      <c r="L15" s="16">
        <f>$J$12*SQRT(L14)</f>
        <v>0.93448134199743293</v>
      </c>
      <c r="M15" s="20">
        <f t="shared" ref="M15" si="5">(L15-K15)/J15</f>
        <v>0.32115229847193227</v>
      </c>
      <c r="N15" s="12" t="s">
        <v>20</v>
      </c>
      <c r="P15" s="2">
        <v>0.26500000000000012</v>
      </c>
      <c r="Q15" s="38">
        <f t="shared" si="1"/>
        <v>0.23584546764867598</v>
      </c>
    </row>
    <row r="16" spans="1:20" x14ac:dyDescent="0.25">
      <c r="A16">
        <v>1</v>
      </c>
      <c r="B16">
        <v>15</v>
      </c>
      <c r="C16" s="2">
        <v>0.67400000000000038</v>
      </c>
      <c r="D16" s="42">
        <f t="shared" si="2"/>
        <v>0.12103767396309413</v>
      </c>
      <c r="E16" s="38">
        <f t="shared" si="0"/>
        <v>0.68514989256210934</v>
      </c>
      <c r="F16" s="38">
        <f t="shared" si="4"/>
        <v>0.46943037527786996</v>
      </c>
      <c r="H16" s="21">
        <f>J16/$M$8</f>
        <v>0.88600135659635404</v>
      </c>
      <c r="I16" s="15" t="s">
        <v>17</v>
      </c>
      <c r="J16" s="19">
        <f>J15*SQRT(LN(4))</f>
        <v>0.92781847715397958</v>
      </c>
      <c r="K16" s="16">
        <f t="shared" ref="K16:L16" si="6">K15*SQRT(LN(4))</f>
        <v>0.80229666141875999</v>
      </c>
      <c r="L16" s="16">
        <f t="shared" si="6"/>
        <v>1.1002676979214885</v>
      </c>
      <c r="P16" s="2">
        <v>0.13600000000000012</v>
      </c>
      <c r="Q16" s="38">
        <f t="shared" si="1"/>
        <v>0.12103767396309413</v>
      </c>
    </row>
    <row r="17" spans="1:17" x14ac:dyDescent="0.25">
      <c r="A17">
        <v>1</v>
      </c>
      <c r="B17">
        <v>16</v>
      </c>
      <c r="C17" s="2">
        <v>1.0659999999999998</v>
      </c>
      <c r="D17" s="42">
        <f t="shared" si="2"/>
        <v>0.16286687011210468</v>
      </c>
      <c r="E17" s="38">
        <f t="shared" si="0"/>
        <v>1.0787360392238381</v>
      </c>
      <c r="F17" s="38">
        <f t="shared" si="4"/>
        <v>1.163671442320334</v>
      </c>
      <c r="H17" s="21">
        <f>J17/$M$8</f>
        <v>0.9431192232681439</v>
      </c>
      <c r="I17" s="15" t="s">
        <v>18</v>
      </c>
      <c r="J17" s="19">
        <f>J15*SQRT(PI()/2)</f>
        <v>0.98763216894931583</v>
      </c>
      <c r="K17" s="16">
        <f>K15*SQRT(PI()/2)</f>
        <v>0.85401833588005094</v>
      </c>
      <c r="L17" s="16">
        <f>L15*SQRT(PI()/2)</f>
        <v>1.1711986769829434</v>
      </c>
      <c r="P17" s="2">
        <v>0.18300000000000027</v>
      </c>
      <c r="Q17" s="38">
        <f t="shared" si="1"/>
        <v>0.16286687011210468</v>
      </c>
    </row>
    <row r="18" spans="1:17" x14ac:dyDescent="0.25">
      <c r="A18">
        <v>1</v>
      </c>
      <c r="B18">
        <v>17</v>
      </c>
      <c r="C18" s="2">
        <v>1.5979999999999999</v>
      </c>
      <c r="D18" s="42">
        <f t="shared" si="2"/>
        <v>-0.3319636205017209</v>
      </c>
      <c r="E18" s="38">
        <f t="shared" si="0"/>
        <v>1.6324319137638772</v>
      </c>
      <c r="F18" s="38">
        <f t="shared" si="4"/>
        <v>2.6648339530747944</v>
      </c>
      <c r="H18" s="21">
        <f>J18/$M$8</f>
        <v>1.0641960836230751</v>
      </c>
      <c r="I18" s="15" t="s">
        <v>19</v>
      </c>
      <c r="J18" s="19">
        <f>J15*SQRT(2)</f>
        <v>1.1144235641957636</v>
      </c>
      <c r="K18" s="16">
        <f t="shared" ref="K18:L18" si="7">K15*SQRT(2)</f>
        <v>0.96365649852462776</v>
      </c>
      <c r="L18" s="16">
        <f t="shared" si="7"/>
        <v>1.3215561876373803</v>
      </c>
      <c r="P18" s="2">
        <v>-0.37299999999999978</v>
      </c>
      <c r="Q18" s="38">
        <f t="shared" si="1"/>
        <v>-0.3319636205017209</v>
      </c>
    </row>
    <row r="19" spans="1:17" x14ac:dyDescent="0.25">
      <c r="A19">
        <v>1</v>
      </c>
      <c r="B19">
        <v>18</v>
      </c>
      <c r="C19" s="2">
        <v>0.45199999999999996</v>
      </c>
      <c r="D19" s="42">
        <f t="shared" si="2"/>
        <v>-0.74758563330146333</v>
      </c>
      <c r="E19" s="38">
        <f t="shared" si="0"/>
        <v>0.87367340460383613</v>
      </c>
      <c r="F19" s="38">
        <f t="shared" si="4"/>
        <v>0.76330521791205841</v>
      </c>
      <c r="H19" s="21">
        <f>J19/$M$8</f>
        <v>1.8862384465362878</v>
      </c>
      <c r="I19" s="15" t="s">
        <v>22</v>
      </c>
      <c r="J19" s="19">
        <f>2*J17</f>
        <v>1.9752643378986317</v>
      </c>
      <c r="K19" s="16">
        <f t="shared" ref="K19:L19" si="8">2*K17</f>
        <v>1.7080366717601019</v>
      </c>
      <c r="L19" s="16">
        <f t="shared" si="8"/>
        <v>2.3423973539658869</v>
      </c>
      <c r="P19" s="2">
        <v>-0.8400000000000003</v>
      </c>
      <c r="Q19" s="38">
        <f t="shared" si="1"/>
        <v>-0.74758563330146333</v>
      </c>
    </row>
    <row r="20" spans="1:17" x14ac:dyDescent="0.25">
      <c r="A20">
        <v>1</v>
      </c>
      <c r="B20">
        <v>19</v>
      </c>
      <c r="C20" s="2">
        <v>-0.10999999999999988</v>
      </c>
      <c r="D20" s="42">
        <f t="shared" si="2"/>
        <v>-1.247756021296013</v>
      </c>
      <c r="E20" s="38">
        <f t="shared" si="0"/>
        <v>1.2524316686137118</v>
      </c>
      <c r="F20" s="38">
        <f t="shared" si="4"/>
        <v>1.5685850845465263</v>
      </c>
      <c r="P20" s="2">
        <v>-1.4019999999999997</v>
      </c>
      <c r="Q20" s="38">
        <f t="shared" si="1"/>
        <v>-1.247756021296013</v>
      </c>
    </row>
    <row r="21" spans="1:17" x14ac:dyDescent="0.25">
      <c r="A21">
        <v>1</v>
      </c>
      <c r="B21">
        <v>20</v>
      </c>
      <c r="C21" s="2">
        <v>0.68599999999999994</v>
      </c>
      <c r="D21" s="42">
        <f t="shared" si="2"/>
        <v>-2.4287633253329672</v>
      </c>
      <c r="E21" s="38">
        <f t="shared" si="0"/>
        <v>2.5237510105907934</v>
      </c>
      <c r="F21" s="38">
        <f t="shared" si="4"/>
        <v>6.3693191634580515</v>
      </c>
      <c r="P21" s="2">
        <v>-2.7289999999999996</v>
      </c>
      <c r="Q21" s="38">
        <f t="shared" si="1"/>
        <v>-2.4287633253329672</v>
      </c>
    </row>
    <row r="22" spans="1:17" x14ac:dyDescent="0.25">
      <c r="A22">
        <v>2</v>
      </c>
      <c r="B22">
        <v>1</v>
      </c>
      <c r="C22" s="2">
        <v>-1.4840000000000002</v>
      </c>
      <c r="D22" s="42">
        <f t="shared" si="2"/>
        <v>1.0359400918605985</v>
      </c>
      <c r="E22" s="38">
        <f t="shared" si="0"/>
        <v>1.8096037701482792</v>
      </c>
      <c r="F22" s="38">
        <f t="shared" si="4"/>
        <v>3.274665804934866</v>
      </c>
      <c r="P22" s="2">
        <v>1.1639999999999997</v>
      </c>
      <c r="Q22" s="38">
        <f t="shared" si="1"/>
        <v>1.0359400918605985</v>
      </c>
    </row>
    <row r="23" spans="1:17" x14ac:dyDescent="0.25">
      <c r="A23">
        <v>2</v>
      </c>
      <c r="B23">
        <v>2</v>
      </c>
      <c r="C23" s="2">
        <v>-1.286</v>
      </c>
      <c r="D23" s="42">
        <f t="shared" si="2"/>
        <v>0.88553298230351885</v>
      </c>
      <c r="E23" s="38">
        <f t="shared" si="0"/>
        <v>1.5611857787693195</v>
      </c>
      <c r="F23" s="38">
        <f t="shared" si="4"/>
        <v>2.4373010358315668</v>
      </c>
      <c r="P23" s="2">
        <v>0.99500000000000011</v>
      </c>
      <c r="Q23" s="38">
        <f t="shared" si="1"/>
        <v>0.88553298230351885</v>
      </c>
    </row>
    <row r="24" spans="1:17" x14ac:dyDescent="0.25">
      <c r="A24">
        <v>2</v>
      </c>
      <c r="B24">
        <v>3</v>
      </c>
      <c r="C24" s="2">
        <v>1.0750000000000002</v>
      </c>
      <c r="D24" s="42">
        <f t="shared" si="2"/>
        <v>1.1329482276104315</v>
      </c>
      <c r="E24" s="38">
        <f t="shared" si="0"/>
        <v>1.5621305381212032</v>
      </c>
      <c r="F24" s="38">
        <f t="shared" si="4"/>
        <v>2.4402518181308399</v>
      </c>
      <c r="P24" s="2">
        <v>1.2729999999999997</v>
      </c>
      <c r="Q24" s="38">
        <f t="shared" si="1"/>
        <v>1.1329482276104315</v>
      </c>
    </row>
    <row r="25" spans="1:17" x14ac:dyDescent="0.25">
      <c r="A25">
        <v>2</v>
      </c>
      <c r="B25">
        <v>4</v>
      </c>
      <c r="C25" s="2">
        <v>1.3069999999999995</v>
      </c>
      <c r="D25" s="42">
        <f t="shared" si="2"/>
        <v>0.37379281665073144</v>
      </c>
      <c r="E25" s="38">
        <f t="shared" si="0"/>
        <v>1.3597738454851158</v>
      </c>
      <c r="F25" s="38">
        <f t="shared" si="4"/>
        <v>1.8489849108653795</v>
      </c>
      <c r="P25" s="2">
        <v>0.41999999999999993</v>
      </c>
      <c r="Q25" s="38">
        <f t="shared" si="1"/>
        <v>0.37379281665073144</v>
      </c>
    </row>
    <row r="26" spans="1:17" x14ac:dyDescent="0.25">
      <c r="A26">
        <v>2</v>
      </c>
      <c r="B26">
        <v>5</v>
      </c>
      <c r="C26" s="2">
        <v>1.1299999999999999</v>
      </c>
      <c r="D26" s="42">
        <f t="shared" si="2"/>
        <v>0.36311302188928163</v>
      </c>
      <c r="E26" s="38">
        <f t="shared" si="0"/>
        <v>1.1872822563741343</v>
      </c>
      <c r="F26" s="38">
        <f t="shared" si="4"/>
        <v>1.4096391563008557</v>
      </c>
      <c r="P26" s="2">
        <v>0.40799999999999947</v>
      </c>
      <c r="Q26" s="38">
        <f t="shared" si="1"/>
        <v>0.36311302188928163</v>
      </c>
    </row>
    <row r="27" spans="1:17" x14ac:dyDescent="0.25">
      <c r="A27">
        <v>2</v>
      </c>
      <c r="B27">
        <v>6</v>
      </c>
      <c r="C27" s="2">
        <v>-1.5000000000000124E-2</v>
      </c>
      <c r="D27" s="42">
        <f t="shared" si="2"/>
        <v>0.5241999262078112</v>
      </c>
      <c r="E27" s="38">
        <f t="shared" si="0"/>
        <v>0.52453804594946807</v>
      </c>
      <c r="F27" s="38">
        <f t="shared" si="4"/>
        <v>0.27514016164848626</v>
      </c>
      <c r="P27" s="2">
        <v>0.58899999999999952</v>
      </c>
      <c r="Q27" s="38">
        <f t="shared" si="1"/>
        <v>0.5241999262078112</v>
      </c>
    </row>
    <row r="28" spans="1:17" x14ac:dyDescent="0.25">
      <c r="A28">
        <v>2</v>
      </c>
      <c r="B28">
        <v>7</v>
      </c>
      <c r="C28" s="2">
        <v>-0.31899999999999995</v>
      </c>
      <c r="D28" s="42">
        <f t="shared" si="2"/>
        <v>0.68617681342312853</v>
      </c>
      <c r="E28" s="38">
        <f t="shared" si="0"/>
        <v>0.75667672442696399</v>
      </c>
      <c r="F28" s="38">
        <f t="shared" si="4"/>
        <v>0.57255966528951963</v>
      </c>
      <c r="P28" s="2">
        <v>0.77099999999999991</v>
      </c>
      <c r="Q28" s="38">
        <f t="shared" si="1"/>
        <v>0.68617681342312853</v>
      </c>
    </row>
    <row r="29" spans="1:17" x14ac:dyDescent="0.25">
      <c r="A29">
        <v>2</v>
      </c>
      <c r="B29">
        <v>8</v>
      </c>
      <c r="C29" s="2">
        <v>-0.46200000000000019</v>
      </c>
      <c r="D29" s="42">
        <f t="shared" si="2"/>
        <v>0.52063999462066168</v>
      </c>
      <c r="E29" s="38">
        <f t="shared" si="0"/>
        <v>0.69593516402560562</v>
      </c>
      <c r="F29" s="38">
        <f t="shared" si="4"/>
        <v>0.48432575252734661</v>
      </c>
      <c r="P29" s="2">
        <v>0.58499999999999996</v>
      </c>
      <c r="Q29" s="38">
        <f t="shared" si="1"/>
        <v>0.52063999462066168</v>
      </c>
    </row>
    <row r="30" spans="1:17" x14ac:dyDescent="0.25">
      <c r="A30">
        <v>2</v>
      </c>
      <c r="B30">
        <v>9</v>
      </c>
      <c r="C30" s="2">
        <v>-1.0409999999999999</v>
      </c>
      <c r="D30" s="42">
        <f t="shared" si="2"/>
        <v>0.29903425332058547</v>
      </c>
      <c r="E30" s="38">
        <f t="shared" si="0"/>
        <v>1.0827990421088614</v>
      </c>
      <c r="F30" s="38">
        <f t="shared" si="4"/>
        <v>1.1724537655918676</v>
      </c>
      <c r="P30" s="2">
        <v>0.3360000000000003</v>
      </c>
      <c r="Q30" s="38">
        <f t="shared" si="1"/>
        <v>0.29903425332058547</v>
      </c>
    </row>
    <row r="31" spans="1:17" x14ac:dyDescent="0.25">
      <c r="A31">
        <v>2</v>
      </c>
      <c r="B31">
        <v>10</v>
      </c>
      <c r="C31" s="2">
        <v>-0.64000000000000012</v>
      </c>
      <c r="D31" s="42">
        <f t="shared" si="2"/>
        <v>-0.15930693852495487</v>
      </c>
      <c r="E31" s="38">
        <f t="shared" si="0"/>
        <v>0.65915727019321491</v>
      </c>
      <c r="F31" s="38">
        <f t="shared" si="4"/>
        <v>0.43448830684857093</v>
      </c>
      <c r="P31" s="2">
        <v>-0.17900000000000027</v>
      </c>
      <c r="Q31" s="38">
        <f t="shared" si="1"/>
        <v>-0.15930693852495487</v>
      </c>
    </row>
    <row r="32" spans="1:17" x14ac:dyDescent="0.25">
      <c r="A32">
        <v>2</v>
      </c>
      <c r="B32">
        <v>11</v>
      </c>
      <c r="C32" s="2">
        <v>4.0000000000000036E-2</v>
      </c>
      <c r="D32" s="42">
        <f t="shared" si="2"/>
        <v>-0.23139555316473839</v>
      </c>
      <c r="E32" s="38">
        <f t="shared" si="0"/>
        <v>0.2347557473642925</v>
      </c>
      <c r="F32" s="38">
        <f t="shared" si="4"/>
        <v>5.5110260920567526E-2</v>
      </c>
      <c r="P32" s="2">
        <v>-0.25999999999999979</v>
      </c>
      <c r="Q32" s="38">
        <f t="shared" si="1"/>
        <v>-0.23139555316473839</v>
      </c>
    </row>
    <row r="33" spans="1:17" x14ac:dyDescent="0.25">
      <c r="A33">
        <v>2</v>
      </c>
      <c r="B33">
        <v>12</v>
      </c>
      <c r="C33" s="2">
        <v>0.69899999999999984</v>
      </c>
      <c r="D33" s="42">
        <f t="shared" si="2"/>
        <v>0.1406172976924176</v>
      </c>
      <c r="E33" s="38">
        <f t="shared" si="0"/>
        <v>0.71337312034367006</v>
      </c>
      <c r="F33" s="38">
        <f t="shared" si="4"/>
        <v>0.50890120882886436</v>
      </c>
      <c r="P33" s="2">
        <v>0.15799999999999947</v>
      </c>
      <c r="Q33" s="38">
        <f t="shared" si="1"/>
        <v>0.1406172976924176</v>
      </c>
    </row>
    <row r="34" spans="1:17" x14ac:dyDescent="0.25">
      <c r="A34">
        <v>2</v>
      </c>
      <c r="B34">
        <v>13</v>
      </c>
      <c r="C34" s="2">
        <v>-0.18800000000000017</v>
      </c>
      <c r="D34" s="42">
        <f t="shared" si="2"/>
        <v>-0.59984847243474571</v>
      </c>
      <c r="E34" s="38">
        <f t="shared" si="0"/>
        <v>0.62838728005866229</v>
      </c>
      <c r="F34" s="38">
        <f t="shared" si="4"/>
        <v>0.39487057373952367</v>
      </c>
      <c r="P34" s="2">
        <v>-0.67400000000000038</v>
      </c>
      <c r="Q34" s="38">
        <f t="shared" si="1"/>
        <v>-0.59984847243474571</v>
      </c>
    </row>
    <row r="35" spans="1:17" x14ac:dyDescent="0.25">
      <c r="A35">
        <v>2</v>
      </c>
      <c r="B35">
        <v>14</v>
      </c>
      <c r="C35" s="2">
        <v>3.2000000000000028E-2</v>
      </c>
      <c r="D35" s="42">
        <f t="shared" si="2"/>
        <v>-0.74224573592073873</v>
      </c>
      <c r="E35" s="38">
        <f t="shared" si="0"/>
        <v>0.7428170010244981</v>
      </c>
      <c r="F35" s="38">
        <f t="shared" si="4"/>
        <v>0.55177709701102917</v>
      </c>
      <c r="P35" s="2">
        <v>-0.83400000000000052</v>
      </c>
      <c r="Q35" s="38">
        <f t="shared" si="1"/>
        <v>-0.74224573592073873</v>
      </c>
    </row>
    <row r="36" spans="1:17" x14ac:dyDescent="0.25">
      <c r="A36">
        <v>2</v>
      </c>
      <c r="B36">
        <v>15</v>
      </c>
      <c r="C36" s="2">
        <v>0.24299999999999988</v>
      </c>
      <c r="D36" s="42">
        <f t="shared" si="2"/>
        <v>-0.70842638584281525</v>
      </c>
      <c r="E36" s="38">
        <f t="shared" si="0"/>
        <v>0.74893126404882338</v>
      </c>
      <c r="F36" s="38">
        <f t="shared" si="4"/>
        <v>0.56089803826976836</v>
      </c>
      <c r="P36" s="2">
        <v>-0.79600000000000026</v>
      </c>
      <c r="Q36" s="38">
        <f t="shared" si="1"/>
        <v>-0.70842638584281525</v>
      </c>
    </row>
    <row r="37" spans="1:17" x14ac:dyDescent="0.25">
      <c r="A37">
        <v>2</v>
      </c>
      <c r="B37">
        <v>16</v>
      </c>
      <c r="C37" s="2">
        <v>0.496</v>
      </c>
      <c r="D37" s="42">
        <f t="shared" si="2"/>
        <v>-0.7502555819918254</v>
      </c>
      <c r="E37" s="38">
        <f t="shared" si="0"/>
        <v>0.89947010191590038</v>
      </c>
      <c r="F37" s="38">
        <f t="shared" si="4"/>
        <v>0.80904646424060023</v>
      </c>
      <c r="P37" s="2">
        <v>-0.84299999999999997</v>
      </c>
      <c r="Q37" s="38">
        <f t="shared" si="1"/>
        <v>-0.7502555819918254</v>
      </c>
    </row>
    <row r="38" spans="1:17" x14ac:dyDescent="0.25">
      <c r="A38">
        <v>2</v>
      </c>
      <c r="B38">
        <v>17</v>
      </c>
      <c r="C38" s="2">
        <v>0.73299999999999965</v>
      </c>
      <c r="D38" s="42">
        <f t="shared" si="2"/>
        <v>-0.85527356381274544</v>
      </c>
      <c r="E38" s="38">
        <f t="shared" si="0"/>
        <v>1.126528630628338</v>
      </c>
      <c r="F38" s="38">
        <f t="shared" si="4"/>
        <v>1.2690667556253583</v>
      </c>
      <c r="P38" s="2">
        <v>-0.9610000000000003</v>
      </c>
      <c r="Q38" s="38">
        <f t="shared" si="1"/>
        <v>-0.85527356381274544</v>
      </c>
    </row>
    <row r="39" spans="1:17" x14ac:dyDescent="0.25">
      <c r="A39">
        <v>2</v>
      </c>
      <c r="B39">
        <v>18</v>
      </c>
      <c r="C39" s="2">
        <v>0.60599999999999987</v>
      </c>
      <c r="D39" s="42">
        <f t="shared" si="2"/>
        <v>-1.3100548240711356</v>
      </c>
      <c r="E39" s="38">
        <f t="shared" si="0"/>
        <v>1.4434521829549587</v>
      </c>
      <c r="F39" s="38">
        <f t="shared" si="4"/>
        <v>2.0835542044774353</v>
      </c>
      <c r="P39" s="2">
        <v>-1.4720000000000004</v>
      </c>
      <c r="Q39" s="38">
        <f t="shared" si="1"/>
        <v>-1.3100548240711356</v>
      </c>
    </row>
    <row r="40" spans="1:17" x14ac:dyDescent="0.25">
      <c r="A40">
        <v>2</v>
      </c>
      <c r="B40">
        <v>19</v>
      </c>
      <c r="C40" s="2">
        <v>-0.89300000000000024</v>
      </c>
      <c r="D40" s="42">
        <f t="shared" si="2"/>
        <v>-1.1293882960232817</v>
      </c>
      <c r="E40" s="38">
        <f t="shared" si="0"/>
        <v>1.4394583782227777</v>
      </c>
      <c r="F40" s="38">
        <f t="shared" si="4"/>
        <v>2.0720404226357494</v>
      </c>
      <c r="P40" s="2">
        <v>-1.2690000000000001</v>
      </c>
      <c r="Q40" s="38">
        <f t="shared" si="1"/>
        <v>-1.1293882960232817</v>
      </c>
    </row>
    <row r="41" spans="1:17" x14ac:dyDescent="0.25">
      <c r="A41">
        <v>2</v>
      </c>
      <c r="B41">
        <v>20</v>
      </c>
      <c r="C41" s="2">
        <v>-4.0000000000000036E-2</v>
      </c>
      <c r="D41" s="42">
        <f t="shared" si="2"/>
        <v>0.52063999462066168</v>
      </c>
      <c r="E41" s="38">
        <f t="shared" si="0"/>
        <v>0.52228072195644593</v>
      </c>
      <c r="F41" s="38">
        <f t="shared" si="4"/>
        <v>0.27277715252734636</v>
      </c>
      <c r="P41" s="2">
        <v>0.58499999999999996</v>
      </c>
      <c r="Q41" s="38">
        <f t="shared" si="1"/>
        <v>0.52063999462066168</v>
      </c>
    </row>
  </sheetData>
  <mergeCells count="1">
    <mergeCell ref="K13:L1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Charts</vt:lpstr>
      </vt:variant>
      <vt:variant>
        <vt:i4>1</vt:i4>
      </vt:variant>
    </vt:vector>
  </HeadingPairs>
  <TitlesOfParts>
    <vt:vector size="4" baseType="lpstr">
      <vt:lpstr>Shot Analysis</vt:lpstr>
      <vt:lpstr>Chronograph Analysis</vt:lpstr>
      <vt:lpstr>Adjusted Shot Analysis</vt:lpstr>
      <vt:lpstr>Adjusted Target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</dc:creator>
  <cp:lastModifiedBy>David</cp:lastModifiedBy>
  <dcterms:created xsi:type="dcterms:W3CDTF">2013-11-30T21:08:16Z</dcterms:created>
  <dcterms:modified xsi:type="dcterms:W3CDTF">2013-12-13T19:07:24Z</dcterms:modified>
</cp:coreProperties>
</file>