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240" windowWidth="23940" windowHeight="10200"/>
  </bookViews>
  <sheets>
    <sheet name="Instructions" sheetId="13" r:id="rId1"/>
    <sheet name="BAC for Overlaid Samples" sheetId="9" r:id="rId2"/>
    <sheet name="BAC for Independent Groups" sheetId="6" r:id="rId3"/>
    <sheet name="Overlaid Samples" sheetId="11" r:id="rId4"/>
    <sheet name="Overlaid Independent" sheetId="12" r:id="rId5"/>
    <sheet name="Chart Data" sheetId="10" r:id="rId6"/>
  </sheets>
  <calcPr calcId="145621"/>
  <pivotCaches>
    <pivotCache cacheId="0" r:id="rId7"/>
  </pivotCaches>
</workbook>
</file>

<file path=xl/calcChain.xml><?xml version="1.0" encoding="utf-8"?>
<calcChain xmlns="http://schemas.openxmlformats.org/spreadsheetml/2006/main">
  <c r="M1" i="9" l="1"/>
  <c r="M3" i="9"/>
  <c r="M3" i="6"/>
  <c r="M2" i="6"/>
  <c r="M1" i="6" l="1"/>
  <c r="S2" i="6"/>
  <c r="S3" i="6"/>
  <c r="S4" i="6"/>
  <c r="U5" i="6"/>
  <c r="W5" i="6" l="1"/>
  <c r="V5" i="6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F29" i="9"/>
  <c r="G29" i="9"/>
  <c r="F30" i="9"/>
  <c r="G30" i="9"/>
  <c r="F31" i="9"/>
  <c r="G31" i="9"/>
  <c r="F32" i="9"/>
  <c r="G32" i="9"/>
  <c r="G3" i="9"/>
  <c r="F3" i="9"/>
  <c r="H4" i="9" s="1"/>
  <c r="I5" i="9" l="1"/>
  <c r="B4" i="10"/>
  <c r="H3" i="9"/>
  <c r="J3" i="9" s="1"/>
  <c r="I27" i="9"/>
  <c r="C27" i="10" s="1"/>
  <c r="I21" i="9"/>
  <c r="C21" i="10" s="1"/>
  <c r="I15" i="9"/>
  <c r="C15" i="10" s="1"/>
  <c r="I9" i="9"/>
  <c r="C9" i="10" s="1"/>
  <c r="I3" i="9"/>
  <c r="C3" i="10" s="1"/>
  <c r="H31" i="9"/>
  <c r="B31" i="10" s="1"/>
  <c r="H29" i="9"/>
  <c r="H27" i="9"/>
  <c r="J27" i="9" s="1"/>
  <c r="H25" i="9"/>
  <c r="H23" i="9"/>
  <c r="B23" i="10" s="1"/>
  <c r="H21" i="9"/>
  <c r="H19" i="9"/>
  <c r="B19" i="10" s="1"/>
  <c r="H17" i="9"/>
  <c r="H15" i="9"/>
  <c r="B15" i="10" s="1"/>
  <c r="H13" i="9"/>
  <c r="H11" i="9"/>
  <c r="B11" i="10" s="1"/>
  <c r="H9" i="9"/>
  <c r="H7" i="9"/>
  <c r="B7" i="10" s="1"/>
  <c r="H5" i="9"/>
  <c r="J5" i="9" s="1"/>
  <c r="I31" i="9"/>
  <c r="C31" i="10" s="1"/>
  <c r="I25" i="9"/>
  <c r="C25" i="10" s="1"/>
  <c r="I19" i="9"/>
  <c r="C19" i="10" s="1"/>
  <c r="I13" i="9"/>
  <c r="C13" i="10" s="1"/>
  <c r="I7" i="9"/>
  <c r="C7" i="10" s="1"/>
  <c r="I32" i="9"/>
  <c r="C32" i="10" s="1"/>
  <c r="I30" i="9"/>
  <c r="C30" i="10" s="1"/>
  <c r="I28" i="9"/>
  <c r="C28" i="10" s="1"/>
  <c r="I26" i="9"/>
  <c r="C26" i="10" s="1"/>
  <c r="I24" i="9"/>
  <c r="C24" i="10" s="1"/>
  <c r="I22" i="9"/>
  <c r="C22" i="10" s="1"/>
  <c r="I20" i="9"/>
  <c r="C20" i="10" s="1"/>
  <c r="I18" i="9"/>
  <c r="C18" i="10" s="1"/>
  <c r="I16" i="9"/>
  <c r="C16" i="10" s="1"/>
  <c r="I14" i="9"/>
  <c r="C14" i="10" s="1"/>
  <c r="I12" i="9"/>
  <c r="C12" i="10" s="1"/>
  <c r="I10" i="9"/>
  <c r="C10" i="10" s="1"/>
  <c r="I8" i="9"/>
  <c r="C8" i="10" s="1"/>
  <c r="I6" i="9"/>
  <c r="C6" i="10" s="1"/>
  <c r="I4" i="9"/>
  <c r="C4" i="10" s="1"/>
  <c r="J31" i="9"/>
  <c r="J19" i="9"/>
  <c r="C5" i="10"/>
  <c r="I29" i="9"/>
  <c r="C29" i="10" s="1"/>
  <c r="I23" i="9"/>
  <c r="J23" i="9" s="1"/>
  <c r="I17" i="9"/>
  <c r="C17" i="10" s="1"/>
  <c r="I11" i="9"/>
  <c r="J11" i="9" s="1"/>
  <c r="H32" i="9"/>
  <c r="B32" i="10" s="1"/>
  <c r="H30" i="9"/>
  <c r="B30" i="10" s="1"/>
  <c r="H28" i="9"/>
  <c r="B28" i="10" s="1"/>
  <c r="H26" i="9"/>
  <c r="J26" i="9" s="1"/>
  <c r="H24" i="9"/>
  <c r="B24" i="10" s="1"/>
  <c r="H22" i="9"/>
  <c r="J22" i="9" s="1"/>
  <c r="H20" i="9"/>
  <c r="J20" i="9" s="1"/>
  <c r="H18" i="9"/>
  <c r="J18" i="9" s="1"/>
  <c r="H16" i="9"/>
  <c r="J16" i="9" s="1"/>
  <c r="H14" i="9"/>
  <c r="B14" i="10" s="1"/>
  <c r="H12" i="9"/>
  <c r="J12" i="9" s="1"/>
  <c r="H10" i="9"/>
  <c r="J10" i="9" s="1"/>
  <c r="H8" i="9"/>
  <c r="B8" i="10" s="1"/>
  <c r="H6" i="9"/>
  <c r="J6" i="9" s="1"/>
  <c r="W4" i="6"/>
  <c r="V4" i="6"/>
  <c r="W3" i="6"/>
  <c r="V3" i="6"/>
  <c r="W2" i="6"/>
  <c r="V2" i="6"/>
  <c r="J13" i="9" l="1"/>
  <c r="B20" i="10"/>
  <c r="J15" i="9"/>
  <c r="J4" i="9"/>
  <c r="B27" i="10"/>
  <c r="B12" i="10"/>
  <c r="J21" i="9"/>
  <c r="J29" i="9"/>
  <c r="B3" i="10"/>
  <c r="B6" i="10"/>
  <c r="B22" i="10"/>
  <c r="J8" i="9"/>
  <c r="J24" i="9"/>
  <c r="B5" i="10"/>
  <c r="B13" i="10"/>
  <c r="B21" i="10"/>
  <c r="B29" i="10"/>
  <c r="C11" i="10"/>
  <c r="J30" i="9"/>
  <c r="C23" i="10"/>
  <c r="J14" i="9"/>
  <c r="J7" i="9"/>
  <c r="B10" i="10"/>
  <c r="B26" i="10"/>
  <c r="J28" i="9"/>
  <c r="J9" i="9"/>
  <c r="J17" i="9"/>
  <c r="J25" i="9"/>
  <c r="B16" i="10"/>
  <c r="B18" i="10"/>
  <c r="J32" i="9"/>
  <c r="B9" i="10"/>
  <c r="B17" i="10"/>
  <c r="B25" i="10"/>
  <c r="O2" i="9" l="1"/>
  <c r="P2" i="9"/>
  <c r="R3" i="6"/>
  <c r="R4" i="6"/>
  <c r="R2" i="6"/>
  <c r="R2" i="9" l="1"/>
  <c r="S2" i="9" s="1"/>
  <c r="Q2" i="9"/>
  <c r="T2" i="9"/>
  <c r="U2" i="9"/>
  <c r="E4" i="6"/>
  <c r="F4" i="6"/>
  <c r="E5" i="6"/>
  <c r="F5" i="6"/>
  <c r="E6" i="6"/>
  <c r="F6" i="6"/>
  <c r="E7" i="6"/>
  <c r="F7" i="6"/>
  <c r="E8" i="6"/>
  <c r="F8" i="6"/>
  <c r="E9" i="6"/>
  <c r="F9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E30" i="6"/>
  <c r="F30" i="6"/>
  <c r="E31" i="6"/>
  <c r="F31" i="6"/>
  <c r="E32" i="6"/>
  <c r="F32" i="6"/>
  <c r="F3" i="6"/>
  <c r="E3" i="6"/>
  <c r="M2" i="9" l="1"/>
  <c r="H3" i="6"/>
  <c r="E3" i="10" s="1"/>
  <c r="G5" i="6"/>
  <c r="D5" i="10" s="1"/>
  <c r="H23" i="6"/>
  <c r="E23" i="10" s="1"/>
  <c r="G23" i="6"/>
  <c r="I23" i="6" s="1"/>
  <c r="G13" i="6"/>
  <c r="D13" i="10" s="1"/>
  <c r="H24" i="6"/>
  <c r="E24" i="10" s="1"/>
  <c r="H16" i="6"/>
  <c r="E16" i="10" s="1"/>
  <c r="H6" i="6"/>
  <c r="E6" i="10" s="1"/>
  <c r="G14" i="6"/>
  <c r="D14" i="10" s="1"/>
  <c r="H13" i="6"/>
  <c r="E13" i="10" s="1"/>
  <c r="H32" i="6"/>
  <c r="E32" i="10" s="1"/>
  <c r="G32" i="6"/>
  <c r="D32" i="10" s="1"/>
  <c r="H28" i="6"/>
  <c r="E28" i="10" s="1"/>
  <c r="H26" i="6"/>
  <c r="E26" i="10" s="1"/>
  <c r="H22" i="6"/>
  <c r="E22" i="10" s="1"/>
  <c r="H18" i="6"/>
  <c r="E18" i="10" s="1"/>
  <c r="H14" i="6"/>
  <c r="E14" i="10" s="1"/>
  <c r="H10" i="6"/>
  <c r="E10" i="10" s="1"/>
  <c r="H4" i="6"/>
  <c r="E4" i="10" s="1"/>
  <c r="G28" i="6"/>
  <c r="I28" i="6" s="1"/>
  <c r="G24" i="6"/>
  <c r="D24" i="10" s="1"/>
  <c r="G20" i="6"/>
  <c r="D20" i="10" s="1"/>
  <c r="G16" i="6"/>
  <c r="I16" i="6" s="1"/>
  <c r="G12" i="6"/>
  <c r="D12" i="10" s="1"/>
  <c r="G10" i="6"/>
  <c r="D10" i="10" s="1"/>
  <c r="G6" i="6"/>
  <c r="D6" i="10" s="1"/>
  <c r="G3" i="6"/>
  <c r="I3" i="6" s="1"/>
  <c r="H31" i="6"/>
  <c r="E31" i="10" s="1"/>
  <c r="H29" i="6"/>
  <c r="E29" i="10" s="1"/>
  <c r="H27" i="6"/>
  <c r="E27" i="10" s="1"/>
  <c r="H25" i="6"/>
  <c r="E25" i="10" s="1"/>
  <c r="H21" i="6"/>
  <c r="E21" i="10" s="1"/>
  <c r="H19" i="6"/>
  <c r="E19" i="10" s="1"/>
  <c r="H17" i="6"/>
  <c r="E17" i="10" s="1"/>
  <c r="H15" i="6"/>
  <c r="E15" i="10" s="1"/>
  <c r="H11" i="6"/>
  <c r="E11" i="10" s="1"/>
  <c r="H9" i="6"/>
  <c r="E9" i="10" s="1"/>
  <c r="H7" i="6"/>
  <c r="E7" i="10" s="1"/>
  <c r="H5" i="6"/>
  <c r="E5" i="10" s="1"/>
  <c r="H30" i="6"/>
  <c r="E30" i="10" s="1"/>
  <c r="H20" i="6"/>
  <c r="E20" i="10" s="1"/>
  <c r="H12" i="6"/>
  <c r="E12" i="10" s="1"/>
  <c r="H8" i="6"/>
  <c r="E8" i="10" s="1"/>
  <c r="G30" i="6"/>
  <c r="D30" i="10" s="1"/>
  <c r="G26" i="6"/>
  <c r="G22" i="6"/>
  <c r="D22" i="10" s="1"/>
  <c r="G18" i="6"/>
  <c r="D18" i="10" s="1"/>
  <c r="G8" i="6"/>
  <c r="I8" i="6" s="1"/>
  <c r="G4" i="6"/>
  <c r="D4" i="10" s="1"/>
  <c r="G31" i="6"/>
  <c r="D31" i="10" s="1"/>
  <c r="G29" i="6"/>
  <c r="I29" i="6" s="1"/>
  <c r="G27" i="6"/>
  <c r="G25" i="6"/>
  <c r="D25" i="10" s="1"/>
  <c r="G21" i="6"/>
  <c r="D21" i="10" s="1"/>
  <c r="G19" i="6"/>
  <c r="I19" i="6" s="1"/>
  <c r="G17" i="6"/>
  <c r="G15" i="6"/>
  <c r="D15" i="10" s="1"/>
  <c r="G11" i="6"/>
  <c r="D11" i="10" s="1"/>
  <c r="G9" i="6"/>
  <c r="G7" i="6"/>
  <c r="I7" i="6" l="1"/>
  <c r="I17" i="6"/>
  <c r="I27" i="6"/>
  <c r="I26" i="6"/>
  <c r="I9" i="6"/>
  <c r="D29" i="10"/>
  <c r="D8" i="10"/>
  <c r="D16" i="10"/>
  <c r="D7" i="10"/>
  <c r="D23" i="10"/>
  <c r="D26" i="10"/>
  <c r="D9" i="10"/>
  <c r="D17" i="10"/>
  <c r="D28" i="10"/>
  <c r="D3" i="10"/>
  <c r="D19" i="10"/>
  <c r="D27" i="10"/>
  <c r="I18" i="6"/>
  <c r="I21" i="6"/>
  <c r="I15" i="6"/>
  <c r="I25" i="6"/>
  <c r="I4" i="6"/>
  <c r="I11" i="6"/>
  <c r="I31" i="6"/>
  <c r="I6" i="6"/>
  <c r="I13" i="6"/>
  <c r="I24" i="6"/>
  <c r="I22" i="6"/>
  <c r="I32" i="6"/>
  <c r="I20" i="6"/>
  <c r="I5" i="6"/>
  <c r="I30" i="6"/>
  <c r="I10" i="6"/>
  <c r="I14" i="6"/>
  <c r="I12" i="6"/>
  <c r="T4" i="6"/>
  <c r="U4" i="6" s="1"/>
  <c r="T3" i="6"/>
  <c r="U3" i="6" s="1"/>
  <c r="T2" i="6"/>
  <c r="U2" i="6" s="1"/>
</calcChain>
</file>

<file path=xl/sharedStrings.xml><?xml version="1.0" encoding="utf-8"?>
<sst xmlns="http://schemas.openxmlformats.org/spreadsheetml/2006/main" count="63" uniqueCount="40">
  <si>
    <t>Radius^2</t>
  </si>
  <si>
    <t>Point Y</t>
  </si>
  <si>
    <t>Point X</t>
  </si>
  <si>
    <t>Center Y</t>
  </si>
  <si>
    <t>Center X</t>
  </si>
  <si>
    <t>Group</t>
  </si>
  <si>
    <t>Grand Total</t>
  </si>
  <si>
    <t>Sum Radius^2</t>
  </si>
  <si>
    <t>cB(n)</t>
  </si>
  <si>
    <t>2n-1</t>
  </si>
  <si>
    <t>cG(2n-1)</t>
  </si>
  <si>
    <t>Est. Sigma</t>
  </si>
  <si>
    <t>Confidence:</t>
  </si>
  <si>
    <t>Count of Group</t>
  </si>
  <si>
    <t>MOA</t>
  </si>
  <si>
    <t>Graph X</t>
  </si>
  <si>
    <t>Graph Y</t>
  </si>
  <si>
    <t>POI (Inches)</t>
  </si>
  <si>
    <t>POA (Inches)</t>
  </si>
  <si>
    <t>Aim X</t>
  </si>
  <si>
    <t>Aim Y</t>
  </si>
  <si>
    <t>Impact X</t>
  </si>
  <si>
    <t>Impact Y</t>
  </si>
  <si>
    <t>Ref POA</t>
  </si>
  <si>
    <t>Ref Sample Center</t>
  </si>
  <si>
    <t>Instructions</t>
  </si>
  <si>
    <t>(Yards)</t>
  </si>
  <si>
    <t>Distance</t>
  </si>
  <si>
    <t>Shoot a target at a known distance, and measure the coordinates of the center of each hit on the target.</t>
  </si>
  <si>
    <t>Put your sample data in the shaded columns of the applicable worksheet.</t>
  </si>
  <si>
    <t>Estimated Sigma</t>
  </si>
  <si>
    <t>Accuracy Class</t>
  </si>
  <si>
    <t>90% confidence value</t>
  </si>
  <si>
    <t>(First be sure to remove any previous or sample data from the shaded columns.)</t>
  </si>
  <si>
    <t>Run Analysis</t>
  </si>
  <si>
    <t>Collect Data</t>
  </si>
  <si>
    <r>
      <rPr>
        <b/>
        <sz val="10"/>
        <color theme="1"/>
        <rFont val="Arial"/>
        <family val="2"/>
      </rPr>
      <t>A.</t>
    </r>
    <r>
      <rPr>
        <sz val="10"/>
        <color theme="1"/>
        <rFont val="Arial"/>
        <family val="2"/>
      </rPr>
      <t xml:space="preserve"> If your sighting system does not change during the testing </t>
    </r>
    <r>
      <rPr>
        <i/>
        <sz val="10"/>
        <color theme="1"/>
        <rFont val="Arial"/>
        <family val="2"/>
      </rPr>
      <t xml:space="preserve">and </t>
    </r>
    <r>
      <rPr>
        <sz val="10"/>
        <color theme="1"/>
        <rFont val="Arial"/>
        <family val="2"/>
      </rPr>
      <t xml:space="preserve">you record the point of aim for each shot, then use the </t>
    </r>
    <r>
      <rPr>
        <b/>
        <sz val="10"/>
        <color theme="1"/>
        <rFont val="Arial"/>
        <family val="2"/>
      </rPr>
      <t>BAC for Overlaid Samples</t>
    </r>
    <r>
      <rPr>
        <sz val="10"/>
        <color theme="1"/>
        <rFont val="Arial"/>
        <family val="2"/>
      </rPr>
      <t xml:space="preserve"> worksheet.  (</t>
    </r>
    <r>
      <rPr>
        <i/>
        <sz val="10"/>
        <color theme="1"/>
        <rFont val="Arial"/>
        <family val="2"/>
      </rPr>
      <t>This is the most efficient way to estimate precision</t>
    </r>
    <r>
      <rPr>
        <sz val="10"/>
        <color theme="1"/>
        <rFont val="Arial"/>
        <family val="2"/>
      </rPr>
      <t>.)</t>
    </r>
  </si>
  <si>
    <r>
      <rPr>
        <b/>
        <sz val="10"/>
        <color theme="1"/>
        <rFont val="Arial"/>
        <family val="2"/>
      </rPr>
      <t>B.</t>
    </r>
    <r>
      <rPr>
        <sz val="10"/>
        <color theme="1"/>
        <rFont val="Arial"/>
        <family val="2"/>
      </rPr>
      <t xml:space="preserve"> Otherwise, you will have to break your samples into "groups."  Use the </t>
    </r>
    <r>
      <rPr>
        <b/>
        <sz val="10"/>
        <color theme="1"/>
        <rFont val="Arial"/>
        <family val="2"/>
      </rPr>
      <t>BAC for Independent Groups</t>
    </r>
    <r>
      <rPr>
        <sz val="10"/>
        <color theme="1"/>
        <rFont val="Arial"/>
        <family val="2"/>
      </rPr>
      <t xml:space="preserve"> worksheet.</t>
    </r>
  </si>
  <si>
    <t>(Inches)</t>
  </si>
  <si>
    <r>
      <t xml:space="preserve">The </t>
    </r>
    <r>
      <rPr>
        <b/>
        <sz val="10"/>
        <color theme="1"/>
        <rFont val="Arial"/>
        <family val="2"/>
      </rPr>
      <t xml:space="preserve">Ballistic Accuracy Class </t>
    </r>
    <r>
      <rPr>
        <sz val="10"/>
        <color theme="1"/>
        <rFont val="Arial"/>
        <family val="2"/>
      </rPr>
      <t xml:space="preserve">and </t>
    </r>
    <r>
      <rPr>
        <b/>
        <sz val="10"/>
        <color theme="1"/>
        <rFont val="Arial"/>
        <family val="2"/>
      </rPr>
      <t xml:space="preserve">Estimated Sigma </t>
    </r>
    <r>
      <rPr>
        <sz val="10"/>
        <color theme="1"/>
        <rFont val="Arial"/>
        <family val="2"/>
      </rPr>
      <t>are calculated and displayed in column 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</si>
</sst>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rgb="FFFA7D00"/>
      <name val="Arial"/>
      <family val="2"/>
    </font>
    <font>
      <sz val="10"/>
      <color theme="0" tint="-0.499984740745262"/>
      <name val="Arial"/>
      <family val="2"/>
    </font>
    <font>
      <b/>
      <sz val="8"/>
      <color rgb="FFFA7D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sz val="10"/>
      <color rgb="FF3F3F3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3" borderId="5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5" fillId="0" borderId="0" xfId="0" applyNumberFormat="1" applyFont="1"/>
    <xf numFmtId="43" fontId="0" fillId="0" borderId="0" xfId="0" applyNumberFormat="1"/>
    <xf numFmtId="0" fontId="0" fillId="33" borderId="0" xfId="0" applyFill="1"/>
    <xf numFmtId="0" fontId="0" fillId="0" borderId="10" xfId="0" applyBorder="1"/>
    <xf numFmtId="0" fontId="0" fillId="0" borderId="0" xfId="0"/>
    <xf numFmtId="0" fontId="0" fillId="0" borderId="11" xfId="0" applyBorder="1"/>
    <xf numFmtId="164" fontId="0" fillId="0" borderId="0" xfId="0" applyNumberFormat="1"/>
    <xf numFmtId="164" fontId="0" fillId="0" borderId="0" xfId="2" applyNumberFormat="1" applyFont="1"/>
    <xf numFmtId="0" fontId="0" fillId="0" borderId="12" xfId="0" applyBorder="1"/>
    <xf numFmtId="0" fontId="5" fillId="0" borderId="12" xfId="0" applyFont="1" applyBorder="1"/>
    <xf numFmtId="43" fontId="4" fillId="3" borderId="13" xfId="4" applyNumberFormat="1" applyBorder="1"/>
    <xf numFmtId="43" fontId="0" fillId="0" borderId="12" xfId="0" applyNumberFormat="1" applyBorder="1"/>
    <xf numFmtId="43" fontId="4" fillId="3" borderId="15" xfId="4" applyNumberFormat="1" applyBorder="1"/>
    <xf numFmtId="0" fontId="0" fillId="0" borderId="14" xfId="0" pivotButton="1" applyBorder="1"/>
    <xf numFmtId="0" fontId="20" fillId="0" borderId="14" xfId="0" applyFont="1" applyBorder="1" applyAlignment="1">
      <alignment horizontal="center"/>
    </xf>
    <xf numFmtId="0" fontId="6" fillId="3" borderId="16" xfId="4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9" fontId="3" fillId="2" borderId="16" xfId="1" applyFont="1" applyFill="1" applyBorder="1"/>
    <xf numFmtId="2" fontId="22" fillId="0" borderId="14" xfId="0" applyNumberFormat="1" applyFont="1" applyBorder="1"/>
    <xf numFmtId="0" fontId="22" fillId="0" borderId="14" xfId="0" applyFont="1" applyBorder="1"/>
    <xf numFmtId="2" fontId="5" fillId="0" borderId="0" xfId="0" applyNumberFormat="1" applyFont="1"/>
    <xf numFmtId="2" fontId="5" fillId="0" borderId="12" xfId="0" applyNumberFormat="1" applyFont="1" applyBorder="1"/>
    <xf numFmtId="0" fontId="5" fillId="0" borderId="12" xfId="0" applyNumberFormat="1" applyFont="1" applyBorder="1"/>
    <xf numFmtId="43" fontId="2" fillId="0" borderId="12" xfId="0" applyNumberFormat="1" applyFont="1" applyBorder="1"/>
    <xf numFmtId="0" fontId="2" fillId="33" borderId="18" xfId="0" applyFont="1" applyFill="1" applyBorder="1"/>
    <xf numFmtId="0" fontId="2" fillId="0" borderId="19" xfId="0" applyFont="1" applyBorder="1"/>
    <xf numFmtId="0" fontId="0" fillId="0" borderId="17" xfId="0" applyBorder="1"/>
    <xf numFmtId="0" fontId="2" fillId="0" borderId="21" xfId="0" applyFont="1" applyBorder="1"/>
    <xf numFmtId="0" fontId="2" fillId="33" borderId="20" xfId="0" applyFont="1" applyFill="1" applyBorder="1"/>
    <xf numFmtId="0" fontId="0" fillId="33" borderId="17" xfId="0" applyFill="1" applyBorder="1"/>
    <xf numFmtId="43" fontId="0" fillId="0" borderId="0" xfId="0" applyNumberFormat="1" applyFill="1" applyBorder="1"/>
    <xf numFmtId="0" fontId="0" fillId="0" borderId="0" xfId="0" applyBorder="1"/>
    <xf numFmtId="0" fontId="5" fillId="0" borderId="0" xfId="0" quotePrefix="1" applyFont="1"/>
    <xf numFmtId="43" fontId="0" fillId="0" borderId="0" xfId="0" quotePrefix="1" applyNumberFormat="1" applyFill="1" applyBorder="1"/>
    <xf numFmtId="0" fontId="0" fillId="33" borderId="18" xfId="0" applyFill="1" applyBorder="1"/>
    <xf numFmtId="0" fontId="0" fillId="33" borderId="20" xfId="0" applyFill="1" applyBorder="1"/>
    <xf numFmtId="0" fontId="0" fillId="0" borderId="19" xfId="0" applyBorder="1"/>
    <xf numFmtId="0" fontId="0" fillId="0" borderId="21" xfId="0" applyBorder="1"/>
    <xf numFmtId="0" fontId="0" fillId="33" borderId="0" xfId="0" applyFill="1" applyBorder="1"/>
    <xf numFmtId="0" fontId="24" fillId="0" borderId="14" xfId="0" applyFont="1" applyBorder="1" applyAlignment="1">
      <alignment horizontal="right"/>
    </xf>
    <xf numFmtId="0" fontId="2" fillId="0" borderId="22" xfId="0" applyFont="1" applyBorder="1"/>
    <xf numFmtId="0" fontId="0" fillId="0" borderId="29" xfId="0" applyBorder="1"/>
    <xf numFmtId="0" fontId="0" fillId="0" borderId="25" xfId="0" applyBorder="1"/>
    <xf numFmtId="0" fontId="0" fillId="0" borderId="24" xfId="0" applyBorder="1"/>
    <xf numFmtId="0" fontId="2" fillId="0" borderId="23" xfId="0" applyFont="1" applyBorder="1"/>
    <xf numFmtId="0" fontId="0" fillId="0" borderId="30" xfId="0" applyBorder="1"/>
    <xf numFmtId="0" fontId="23" fillId="0" borderId="14" xfId="0" applyFont="1" applyBorder="1" applyAlignment="1">
      <alignment horizontal="center"/>
    </xf>
    <xf numFmtId="0" fontId="0" fillId="0" borderId="28" xfId="0" applyBorder="1"/>
    <xf numFmtId="2" fontId="24" fillId="0" borderId="14" xfId="0" applyNumberFormat="1" applyFont="1" applyBorder="1" applyAlignment="1">
      <alignment horizontal="right"/>
    </xf>
    <xf numFmtId="0" fontId="0" fillId="0" borderId="31" xfId="0" applyBorder="1"/>
    <xf numFmtId="0" fontId="0" fillId="0" borderId="0" xfId="0"/>
    <xf numFmtId="0" fontId="2" fillId="0" borderId="0" xfId="0" applyFont="1"/>
    <xf numFmtId="0" fontId="0" fillId="33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2" xfId="0" applyFont="1" applyBorder="1"/>
    <xf numFmtId="43" fontId="0" fillId="0" borderId="12" xfId="0" applyNumberFormat="1" applyBorder="1"/>
    <xf numFmtId="0" fontId="21" fillId="0" borderId="14" xfId="0" applyFont="1" applyBorder="1" applyAlignment="1">
      <alignment horizontal="center"/>
    </xf>
    <xf numFmtId="9" fontId="3" fillId="2" borderId="16" xfId="1" applyFont="1" applyFill="1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3" fontId="5" fillId="0" borderId="0" xfId="0" applyNumberFormat="1" applyFont="1"/>
    <xf numFmtId="0" fontId="14" fillId="3" borderId="5" xfId="13" applyAlignment="1">
      <alignment horizontal="right"/>
    </xf>
    <xf numFmtId="43" fontId="14" fillId="3" borderId="5" xfId="13" applyNumberFormat="1"/>
    <xf numFmtId="0" fontId="16" fillId="9" borderId="12" xfId="20" applyNumberFormat="1" applyFont="1" applyBorder="1" applyAlignment="1">
      <alignment horizontal="right"/>
    </xf>
    <xf numFmtId="0" fontId="16" fillId="9" borderId="12" xfId="20" applyNumberFormat="1" applyFont="1" applyBorder="1" applyAlignment="1">
      <alignment horizontal="center"/>
    </xf>
    <xf numFmtId="0" fontId="26" fillId="3" borderId="5" xfId="13" applyFont="1" applyAlignment="1">
      <alignment horizontal="right"/>
    </xf>
    <xf numFmtId="43" fontId="26" fillId="3" borderId="5" xfId="13" applyNumberFormat="1" applyFont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8" fillId="0" borderId="2" xfId="6"/>
    <xf numFmtId="0" fontId="9" fillId="0" borderId="3" xfId="7"/>
    <xf numFmtId="0" fontId="0" fillId="0" borderId="0" xfId="0" applyAlignment="1">
      <alignment horizontal="left" wrapText="1" indent="1"/>
    </xf>
    <xf numFmtId="0" fontId="2" fillId="0" borderId="0" xfId="0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1" builtinId="27" customBuiltin="1"/>
    <cellStyle name="Calculation" xfId="4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3" builtinId="20" customBuiltin="1"/>
    <cellStyle name="Linked Cell" xfId="14" builtinId="24" customBuiltin="1"/>
    <cellStyle name="Neutral" xfId="12" builtinId="28" customBuiltin="1"/>
    <cellStyle name="Normal" xfId="0" builtinId="0"/>
    <cellStyle name="Note" xfId="17" builtinId="10" customBuiltin="1"/>
    <cellStyle name="Output" xfId="13" builtinId="21" customBuiltin="1"/>
    <cellStyle name="Percent" xfId="1" builtinId="5"/>
    <cellStyle name="Title" xfId="5" builtinId="15" customBuiltin="1"/>
    <cellStyle name="Total" xfId="19" builtinId="25" customBuiltin="1"/>
    <cellStyle name="Warning Text" xfId="16" builtinId="11" customBuiltin="1"/>
  </cellStyles>
  <dxfs count="10">
    <dxf>
      <font>
        <color theme="0" tint="-0.499984740745262"/>
      </font>
    </dxf>
    <dxf>
      <font>
        <color theme="0" tint="-0.499984740745262"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sz val="8"/>
      </font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Group 1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00206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Data'!$B$3:$B$12</c:f>
              <c:numCache>
                <c:formatCode>General</c:formatCode>
                <c:ptCount val="10"/>
                <c:pt idx="0">
                  <c:v>0.51290496108201877</c:v>
                </c:pt>
                <c:pt idx="1">
                  <c:v>0.98575490532807042</c:v>
                </c:pt>
                <c:pt idx="2">
                  <c:v>0.43386138831252996</c:v>
                </c:pt>
                <c:pt idx="3">
                  <c:v>0.412689002749274</c:v>
                </c:pt>
                <c:pt idx="4">
                  <c:v>0.17085330987119343</c:v>
                </c:pt>
                <c:pt idx="5">
                  <c:v>3.9584519379006089E-2</c:v>
                </c:pt>
                <c:pt idx="6">
                  <c:v>1.8412133815750104E-2</c:v>
                </c:pt>
                <c:pt idx="7">
                  <c:v>1.3236661789176762E-2</c:v>
                </c:pt>
                <c:pt idx="8">
                  <c:v>-0.23942047259901225</c:v>
                </c:pt>
                <c:pt idx="9">
                  <c:v>-0.80731090315123455</c:v>
                </c:pt>
              </c:numCache>
            </c:numRef>
          </c:xVal>
          <c:yVal>
            <c:numRef>
              <c:f>'Chart Data'!$C$3:$C$12</c:f>
              <c:numCache>
                <c:formatCode>General</c:formatCode>
                <c:ptCount val="10"/>
                <c:pt idx="0">
                  <c:v>0.67088232388103952</c:v>
                </c:pt>
                <c:pt idx="1">
                  <c:v>-0.14966524105937187</c:v>
                </c:pt>
                <c:pt idx="2">
                  <c:v>0.10299189332881631</c:v>
                </c:pt>
                <c:pt idx="3">
                  <c:v>-0.12284688601258115</c:v>
                </c:pt>
                <c:pt idx="4">
                  <c:v>0.47092090467251002</c:v>
                </c:pt>
                <c:pt idx="5">
                  <c:v>0.39187733190302121</c:v>
                </c:pt>
                <c:pt idx="6">
                  <c:v>-0.12849285549611589</c:v>
                </c:pt>
                <c:pt idx="7">
                  <c:v>-0.22306284434532639</c:v>
                </c:pt>
                <c:pt idx="8">
                  <c:v>-0.32280830522111026</c:v>
                </c:pt>
                <c:pt idx="9">
                  <c:v>-9.1323556396177633E-2</c:v>
                </c:pt>
              </c:numCache>
            </c:numRef>
          </c:yVal>
          <c:smooth val="0"/>
        </c:ser>
        <c:ser>
          <c:idx val="1"/>
          <c:order val="1"/>
          <c:tx>
            <c:v>Group 2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C0000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Data'!$B$13:$B$22</c:f>
              <c:numCache>
                <c:formatCode>General</c:formatCode>
                <c:ptCount val="10"/>
                <c:pt idx="0">
                  <c:v>0.67569708119060878</c:v>
                </c:pt>
                <c:pt idx="1">
                  <c:v>0.37599020110629544</c:v>
                </c:pt>
                <c:pt idx="2">
                  <c:v>-0.31328857334192861</c:v>
                </c:pt>
                <c:pt idx="3">
                  <c:v>0.35999328756961368</c:v>
                </c:pt>
                <c:pt idx="4">
                  <c:v>-0.50760402306692298</c:v>
                </c:pt>
                <c:pt idx="5">
                  <c:v>-0.19942818875730686</c:v>
                </c:pt>
                <c:pt idx="6">
                  <c:v>-0.25494688867873311</c:v>
                </c:pt>
                <c:pt idx="7">
                  <c:v>6.8755361710603008E-2</c:v>
                </c:pt>
                <c:pt idx="8">
                  <c:v>-0.67274863046031952</c:v>
                </c:pt>
                <c:pt idx="9">
                  <c:v>-0.23189251328763233</c:v>
                </c:pt>
              </c:numCache>
            </c:numRef>
          </c:xVal>
          <c:yVal>
            <c:numRef>
              <c:f>'Chart Data'!$C$13:$C$22</c:f>
              <c:numCache>
                <c:formatCode>General</c:formatCode>
                <c:ptCount val="10"/>
                <c:pt idx="0">
                  <c:v>0.66570685185446532</c:v>
                </c:pt>
                <c:pt idx="1">
                  <c:v>0.54478900541542552</c:v>
                </c:pt>
                <c:pt idx="2">
                  <c:v>0.61301113667480667</c:v>
                </c:pt>
                <c:pt idx="3">
                  <c:v>-0.28610950357813297</c:v>
                </c:pt>
                <c:pt idx="4">
                  <c:v>8.7465477249095452E-2</c:v>
                </c:pt>
                <c:pt idx="5">
                  <c:v>8.2290005222521695E-2</c:v>
                </c:pt>
                <c:pt idx="6">
                  <c:v>7.6644035738986954E-2</c:v>
                </c:pt>
                <c:pt idx="7">
                  <c:v>-0.88881674594548821</c:v>
                </c:pt>
                <c:pt idx="8">
                  <c:v>-0.61498722599404365</c:v>
                </c:pt>
                <c:pt idx="9">
                  <c:v>8.652448233517307E-2</c:v>
                </c:pt>
              </c:numCache>
            </c:numRef>
          </c:yVal>
          <c:smooth val="0"/>
        </c:ser>
        <c:ser>
          <c:idx val="2"/>
          <c:order val="2"/>
          <c:tx>
            <c:v>Group 3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chemeClr val="accent3">
                  <a:lumMod val="75000"/>
                  <a:alpha val="50000"/>
                </a:schemeClr>
              </a:solidFill>
              <a:ln>
                <a:noFill/>
              </a:ln>
            </c:spPr>
          </c:marker>
          <c:xVal>
            <c:numRef>
              <c:f>'Chart Data'!$B$23:$B$32</c:f>
              <c:numCache>
                <c:formatCode>General</c:formatCode>
                <c:ptCount val="10"/>
                <c:pt idx="0">
                  <c:v>7.581282356502192E-2</c:v>
                </c:pt>
                <c:pt idx="1">
                  <c:v>-0.36927777072031498</c:v>
                </c:pt>
                <c:pt idx="2">
                  <c:v>0.22637200979262054</c:v>
                </c:pt>
                <c:pt idx="3">
                  <c:v>0.12427406163203089</c:v>
                </c:pt>
                <c:pt idx="4">
                  <c:v>-7.9451337232188141E-2</c:v>
                </c:pt>
                <c:pt idx="5">
                  <c:v>-0.73908877189185429</c:v>
                </c:pt>
                <c:pt idx="6">
                  <c:v>0.35764080028480794</c:v>
                </c:pt>
                <c:pt idx="7">
                  <c:v>-0.32363951739507524</c:v>
                </c:pt>
                <c:pt idx="8">
                  <c:v>2.4999098213207227E-2</c:v>
                </c:pt>
                <c:pt idx="9">
                  <c:v>-0.13873401680930558</c:v>
                </c:pt>
              </c:numCache>
            </c:numRef>
          </c:xVal>
          <c:yVal>
            <c:numRef>
              <c:f>'Chart Data'!$C$23:$C$32</c:f>
              <c:numCache>
                <c:formatCode>General</c:formatCode>
                <c:ptCount val="10"/>
                <c:pt idx="0">
                  <c:v>0.8021511143732265</c:v>
                </c:pt>
                <c:pt idx="1">
                  <c:v>0.59842571550900781</c:v>
                </c:pt>
                <c:pt idx="2">
                  <c:v>0.3674114641410362</c:v>
                </c:pt>
                <c:pt idx="3">
                  <c:v>0.34859156586258633</c:v>
                </c:pt>
                <c:pt idx="4">
                  <c:v>0.26578401343740754</c:v>
                </c:pt>
                <c:pt idx="5">
                  <c:v>0.20932431860205811</c:v>
                </c:pt>
                <c:pt idx="6">
                  <c:v>-0.91187112133658899</c:v>
                </c:pt>
                <c:pt idx="7">
                  <c:v>-0.59005086077509772</c:v>
                </c:pt>
                <c:pt idx="8">
                  <c:v>-1.0516088660540792</c:v>
                </c:pt>
                <c:pt idx="9">
                  <c:v>-1.0031476279870706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67360"/>
        <c:axId val="202642176"/>
      </c:scatterChart>
      <c:valAx>
        <c:axId val="202767360"/>
        <c:scaling>
          <c:orientation val="minMax"/>
          <c:max val="1.5"/>
          <c:min val="-1.5"/>
        </c:scaling>
        <c:delete val="0"/>
        <c:axPos val="b"/>
        <c:numFmt formatCode="General" sourceLinked="1"/>
        <c:majorTickMark val="out"/>
        <c:minorTickMark val="none"/>
        <c:tickLblPos val="low"/>
        <c:crossAx val="202642176"/>
        <c:crosses val="autoZero"/>
        <c:crossBetween val="midCat"/>
      </c:valAx>
      <c:valAx>
        <c:axId val="202642176"/>
        <c:scaling>
          <c:orientation val="minMax"/>
          <c:max val="1.5"/>
          <c:min val="-1.5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low"/>
        <c:crossAx val="20276736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30049568109960056"/>
          <c:y val="4.6400999630984173E-2"/>
          <c:w val="0.41658549097663872"/>
          <c:h val="5.5994299078826575E-2"/>
        </c:manualLayout>
      </c:layout>
      <c:overlay val="1"/>
      <c:spPr>
        <a:solidFill>
          <a:schemeClr val="bg1"/>
        </a:solidFill>
        <a:ln w="12700" cap="rnd">
          <a:solidFill>
            <a:schemeClr val="tx1"/>
          </a:solidFill>
        </a:ln>
        <a:effectLst>
          <a:glow rad="12700">
            <a:schemeClr val="tx1"/>
          </a:glow>
        </a:effectLst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Group 1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00206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Data'!$D$3:$D$12</c:f>
              <c:numCache>
                <c:formatCode>General</c:formatCode>
                <c:ptCount val="10"/>
                <c:pt idx="0">
                  <c:v>0.35884841042434168</c:v>
                </c:pt>
                <c:pt idx="1">
                  <c:v>0.83169835467039288</c:v>
                </c:pt>
                <c:pt idx="2">
                  <c:v>0.27980483765485253</c:v>
                </c:pt>
                <c:pt idx="3">
                  <c:v>0.25863245209159658</c:v>
                </c:pt>
                <c:pt idx="4">
                  <c:v>1.679675921351631E-2</c:v>
                </c:pt>
                <c:pt idx="5">
                  <c:v>-0.11447203127867134</c:v>
                </c:pt>
                <c:pt idx="6">
                  <c:v>-0.1356444168419273</c:v>
                </c:pt>
                <c:pt idx="7">
                  <c:v>-0.14081988886850105</c:v>
                </c:pt>
                <c:pt idx="8">
                  <c:v>-0.39347702325668976</c:v>
                </c:pt>
                <c:pt idx="9">
                  <c:v>-0.96136745380891231</c:v>
                </c:pt>
              </c:numCache>
            </c:numRef>
          </c:xVal>
          <c:yVal>
            <c:numRef>
              <c:f>'Chart Data'!$E$3:$E$12</c:f>
              <c:numCache>
                <c:formatCode>General</c:formatCode>
                <c:ptCount val="10"/>
                <c:pt idx="0">
                  <c:v>0.61103504735556946</c:v>
                </c:pt>
                <c:pt idx="1">
                  <c:v>-0.20951251758484224</c:v>
                </c:pt>
                <c:pt idx="2">
                  <c:v>4.3144616803346025E-2</c:v>
                </c:pt>
                <c:pt idx="3">
                  <c:v>-0.18269416253805115</c:v>
                </c:pt>
                <c:pt idx="4">
                  <c:v>0.41107362814704018</c:v>
                </c:pt>
                <c:pt idx="5">
                  <c:v>0.33203005537755104</c:v>
                </c:pt>
                <c:pt idx="6">
                  <c:v>-0.18834013202158584</c:v>
                </c:pt>
                <c:pt idx="7">
                  <c:v>-0.2829101208707967</c:v>
                </c:pt>
                <c:pt idx="8">
                  <c:v>-0.38265558174658043</c:v>
                </c:pt>
                <c:pt idx="9">
                  <c:v>-0.15117083292164768</c:v>
                </c:pt>
              </c:numCache>
            </c:numRef>
          </c:yVal>
          <c:smooth val="0"/>
        </c:ser>
        <c:ser>
          <c:idx val="1"/>
          <c:order val="1"/>
          <c:tx>
            <c:v>Group 2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C0000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Data'!$D$13:$D$22</c:f>
              <c:numCache>
                <c:formatCode>General</c:formatCode>
                <c:ptCount val="10"/>
                <c:pt idx="0">
                  <c:v>0.74564436979217952</c:v>
                </c:pt>
                <c:pt idx="1">
                  <c:v>0.44593748970786606</c:v>
                </c:pt>
                <c:pt idx="2">
                  <c:v>-0.24334128474035843</c:v>
                </c:pt>
                <c:pt idx="3">
                  <c:v>0.42994057617118386</c:v>
                </c:pt>
                <c:pt idx="4">
                  <c:v>-0.43765673446535303</c:v>
                </c:pt>
                <c:pt idx="5">
                  <c:v>-0.12948090015573577</c:v>
                </c:pt>
                <c:pt idx="6">
                  <c:v>-0.18499960007716254</c:v>
                </c:pt>
                <c:pt idx="7">
                  <c:v>0.13870265031217421</c:v>
                </c:pt>
                <c:pt idx="8">
                  <c:v>-0.60280134185874878</c:v>
                </c:pt>
                <c:pt idx="9">
                  <c:v>-0.1619452246860611</c:v>
                </c:pt>
              </c:numCache>
            </c:numRef>
          </c:xVal>
          <c:yVal>
            <c:numRef>
              <c:f>'Chart Data'!$E$13:$E$22</c:f>
              <c:numCache>
                <c:formatCode>General</c:formatCode>
                <c:ptCount val="10"/>
                <c:pt idx="0">
                  <c:v>0.62905509995718489</c:v>
                </c:pt>
                <c:pt idx="1">
                  <c:v>0.50813725351814476</c:v>
                </c:pt>
                <c:pt idx="2">
                  <c:v>0.57635938477752546</c:v>
                </c:pt>
                <c:pt idx="3">
                  <c:v>-0.32276125547541357</c:v>
                </c:pt>
                <c:pt idx="4">
                  <c:v>5.0813725351814831E-2</c:v>
                </c:pt>
                <c:pt idx="5">
                  <c:v>4.5638253325241074E-2</c:v>
                </c:pt>
                <c:pt idx="6">
                  <c:v>3.9992283841706389E-2</c:v>
                </c:pt>
                <c:pt idx="7">
                  <c:v>-0.92546849784276919</c:v>
                </c:pt>
                <c:pt idx="8">
                  <c:v>-0.65163897789132452</c:v>
                </c:pt>
                <c:pt idx="9">
                  <c:v>4.9872730437892088E-2</c:v>
                </c:pt>
              </c:numCache>
            </c:numRef>
          </c:yVal>
          <c:smooth val="0"/>
        </c:ser>
        <c:ser>
          <c:idx val="2"/>
          <c:order val="2"/>
          <c:tx>
            <c:v>Group 3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chemeClr val="accent3">
                  <a:lumMod val="75000"/>
                  <a:alpha val="50000"/>
                </a:schemeClr>
              </a:solidFill>
              <a:ln>
                <a:noFill/>
              </a:ln>
            </c:spPr>
          </c:marker>
          <c:xVal>
            <c:numRef>
              <c:f>'Chart Data'!$D$23:$D$32</c:f>
              <c:numCache>
                <c:formatCode>General</c:formatCode>
                <c:ptCount val="10"/>
                <c:pt idx="0">
                  <c:v>0.15992208562112786</c:v>
                </c:pt>
                <c:pt idx="1">
                  <c:v>-0.28516850866420995</c:v>
                </c:pt>
                <c:pt idx="2">
                  <c:v>0.31048127184872598</c:v>
                </c:pt>
                <c:pt idx="3">
                  <c:v>0.20838332368813717</c:v>
                </c:pt>
                <c:pt idx="4">
                  <c:v>4.6579248239169146E-3</c:v>
                </c:pt>
                <c:pt idx="5">
                  <c:v>-0.65497950983574782</c:v>
                </c:pt>
                <c:pt idx="6">
                  <c:v>0.44175006234091363</c:v>
                </c:pt>
                <c:pt idx="7">
                  <c:v>-0.23953025533896977</c:v>
                </c:pt>
                <c:pt idx="8">
                  <c:v>0.10910836026931392</c:v>
                </c:pt>
                <c:pt idx="9">
                  <c:v>-5.4624754753199056E-2</c:v>
                </c:pt>
              </c:numCache>
            </c:numRef>
          </c:xVal>
          <c:yVal>
            <c:numRef>
              <c:f>'Chart Data'!$E$23:$E$32</c:f>
              <c:numCache>
                <c:formatCode>General</c:formatCode>
                <c:ptCount val="10"/>
                <c:pt idx="0">
                  <c:v>0.89865014279597766</c:v>
                </c:pt>
                <c:pt idx="1">
                  <c:v>0.69492474393175874</c:v>
                </c:pt>
                <c:pt idx="2">
                  <c:v>0.46391049256378736</c:v>
                </c:pt>
                <c:pt idx="3">
                  <c:v>0.44509059428533737</c:v>
                </c:pt>
                <c:pt idx="4">
                  <c:v>0.36228304186015858</c:v>
                </c:pt>
                <c:pt idx="5">
                  <c:v>0.30582334702480907</c:v>
                </c:pt>
                <c:pt idx="6">
                  <c:v>-0.81537209291383794</c:v>
                </c:pt>
                <c:pt idx="7">
                  <c:v>-0.49355183235234668</c:v>
                </c:pt>
                <c:pt idx="8">
                  <c:v>-0.95510983763132806</c:v>
                </c:pt>
                <c:pt idx="9">
                  <c:v>-0.90664859956431965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59328"/>
        <c:axId val="202661248"/>
      </c:scatterChart>
      <c:valAx>
        <c:axId val="202659328"/>
        <c:scaling>
          <c:orientation val="minMax"/>
          <c:max val="1.5"/>
          <c:min val="-1.5"/>
        </c:scaling>
        <c:delete val="0"/>
        <c:axPos val="b"/>
        <c:numFmt formatCode="General" sourceLinked="1"/>
        <c:majorTickMark val="out"/>
        <c:minorTickMark val="none"/>
        <c:tickLblPos val="low"/>
        <c:crossAx val="202661248"/>
        <c:crosses val="autoZero"/>
        <c:crossBetween val="midCat"/>
      </c:valAx>
      <c:valAx>
        <c:axId val="202661248"/>
        <c:scaling>
          <c:orientation val="minMax"/>
          <c:max val="1.5"/>
          <c:min val="-1.5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low"/>
        <c:crossAx val="20265932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30049568109960056"/>
          <c:y val="4.6400999630984173E-2"/>
          <c:w val="0.41658549097663872"/>
          <c:h val="5.5994299078826575E-2"/>
        </c:manualLayout>
      </c:layout>
      <c:overlay val="1"/>
      <c:spPr>
        <a:solidFill>
          <a:schemeClr val="bg1"/>
        </a:solidFill>
        <a:ln w="12700" cap="rnd">
          <a:solidFill>
            <a:schemeClr val="tx1"/>
          </a:solidFill>
        </a:ln>
        <a:effectLst>
          <a:glow rad="12700">
            <a:schemeClr val="tx1"/>
          </a:glow>
        </a:effectLst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" refreshedDate="42802.599521643519" createdVersion="4" refreshedVersion="4" minRefreshableVersion="3" recordCount="30">
  <cacheSource type="worksheet">
    <worksheetSource ref="A2:I32" sheet="BAC for Independent Groups"/>
  </cacheSource>
  <cacheFields count="10">
    <cacheField name="Group" numFmtId="0">
      <sharedItems containsSemiMixedTypes="0" containsString="0" containsNumber="1" containsInteger="1" minValue="1" maxValue="3" count="3">
        <n v="1"/>
        <n v="2"/>
        <n v="3"/>
      </sharedItems>
    </cacheField>
    <cacheField name="Ammunition" numFmtId="0">
      <sharedItems containsMixedTypes="1" containsNumber="1" minValue="0.308" maxValue="0.308" count="2">
        <s v="FGMM"/>
        <n v="0.308" u="1"/>
      </sharedItems>
    </cacheField>
    <cacheField name="Distance (yds)" numFmtId="0">
      <sharedItems containsSemiMixedTypes="0" containsString="0" containsNumber="1" containsInteger="1" minValue="203" maxValue="203"/>
    </cacheField>
    <cacheField name="Point X" numFmtId="0">
      <sharedItems containsSemiMixedTypes="0" containsString="0" containsNumber="1" minValue="8.5150000000000006" maxValue="28.760999999999999"/>
    </cacheField>
    <cacheField name="Point Y" numFmtId="0">
      <sharedItems containsSemiMixedTypes="0" containsString="0" containsNumber="1" minValue="4.43" maxValue="9.2530000000000001"/>
    </cacheField>
    <cacheField name="Point X2" numFmtId="0">
      <sharedItems containsSemiMixedTypes="0" containsString="0" containsNumber="1" minValue="4.0062858460250022" maxValue="13.53197735966237"/>
    </cacheField>
    <cacheField name="Point Y2" numFmtId="0">
      <sharedItems containsSemiMixedTypes="0" containsString="0" containsNumber="1" minValue="2.0843037343383157" maxValue="4.3535129692624013"/>
    </cacheField>
    <cacheField name="Center X" numFmtId="0">
      <sharedItems containsSemiMixedTypes="0" containsString="0" containsNumber="1" minValue="4.9676532998339145" maxValue="13.090227297321457"/>
    </cacheField>
    <cacheField name="Center Y" numFmtId="0">
      <sharedItems containsSemiMixedTypes="0" containsString="0" containsNumber="1" minValue="3.0394135719696438" maxValue="3.7424779219068318"/>
    </cacheField>
    <cacheField name="Radius^2" numFmtId="0">
      <sharedItems containsSemiMixedTypes="0" containsString="0" containsNumber="1" minValue="1.8848153671718493E-2" maxValue="0.951695844984920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n v="203"/>
    <n v="11.321"/>
    <n v="9.2530000000000001"/>
    <n v="5.3265017102582561"/>
    <n v="4.3535129692624013"/>
    <n v="4.9676532998339145"/>
    <n v="3.7424779219068318"/>
    <n v="0.50213601076089986"/>
  </r>
  <r>
    <x v="0"/>
    <x v="0"/>
    <n v="203"/>
    <n v="12.326000000000001"/>
    <n v="7.5090000000000003"/>
    <n v="5.7993516545043073"/>
    <n v="3.5329654043219896"/>
    <n v="4.9676532998339145"/>
    <n v="3.7424779219068318"/>
    <n v="0.73561764818617736"/>
  </r>
  <r>
    <x v="0"/>
    <x v="0"/>
    <n v="203"/>
    <n v="11.153"/>
    <n v="8.0459999999999994"/>
    <n v="5.247458137488767"/>
    <n v="3.7856225387101778"/>
    <n v="4.9676532998339145"/>
    <n v="3.7424779219068318"/>
    <n v="8.0152205134165946E-2"/>
  </r>
  <r>
    <x v="0"/>
    <x v="0"/>
    <n v="203"/>
    <n v="11.108000000000001"/>
    <n v="7.5659999999999998"/>
    <n v="5.226285751925511"/>
    <n v="3.5597837593687807"/>
    <n v="4.9676532998339145"/>
    <n v="3.7424779219068318"/>
    <n v="0.10026790230039184"/>
  </r>
  <r>
    <x v="0"/>
    <x v="0"/>
    <n v="203"/>
    <n v="10.593999999999999"/>
    <n v="8.8279999999999994"/>
    <n v="4.9844500590474308"/>
    <n v="4.153551550053872"/>
    <n v="4.9676532998339145"/>
    <n v="3.7424779219068318"/>
    <n v="0.16926365887804792"/>
  </r>
  <r>
    <x v="0"/>
    <x v="0"/>
    <n v="203"/>
    <n v="10.315"/>
    <n v="8.66"/>
    <n v="4.8531812685552431"/>
    <n v="4.0745079772843829"/>
    <n v="4.9676532998339145"/>
    <n v="3.7424779219068318"/>
    <n v="0.12334780361908472"/>
  </r>
  <r>
    <x v="0"/>
    <x v="0"/>
    <n v="203"/>
    <n v="10.27"/>
    <n v="7.5540000000000003"/>
    <n v="4.8320088829919872"/>
    <n v="3.554137789885246"/>
    <n v="4.9676532998339145"/>
    <n v="3.7424779219068318"/>
    <n v="5.3871413150294915E-2"/>
  </r>
  <r>
    <x v="0"/>
    <x v="0"/>
    <n v="203"/>
    <n v="10.259"/>
    <n v="7.3529999999999998"/>
    <n v="4.8268334109654134"/>
    <n v="3.4595678010360351"/>
    <n v="4.9676532998339145"/>
    <n v="3.7424779219068318"/>
    <n v="9.9868377592065793E-2"/>
  </r>
  <r>
    <x v="0"/>
    <x v="0"/>
    <n v="203"/>
    <n v="9.7219999999999995"/>
    <n v="7.141"/>
    <n v="4.5741762765772247"/>
    <n v="3.3598223401602514"/>
    <n v="4.9676532998339145"/>
    <n v="3.7424779219068318"/>
    <n v="0.30124946207275949"/>
  </r>
  <r>
    <x v="0"/>
    <x v="0"/>
    <n v="203"/>
    <n v="8.5150000000000006"/>
    <n v="7.633"/>
    <n v="4.0062858460250022"/>
    <n v="3.5913070889851841"/>
    <n v="4.9676532998339145"/>
    <n v="3.7424779219068318"/>
    <n v="0.9470800019692559"/>
  </r>
  <r>
    <x v="1"/>
    <x v="0"/>
    <n v="203"/>
    <n v="20.562999999999999"/>
    <n v="8.8059999999999992"/>
    <n v="9.6748392074940828"/>
    <n v="4.1432006060007245"/>
    <n v="8.9291948377019033"/>
    <n v="3.5141455060435396"/>
    <n v="0.95169584498492044"/>
  </r>
  <r>
    <x v="1"/>
    <x v="0"/>
    <n v="203"/>
    <n v="19.925999999999998"/>
    <n v="8.5489999999999995"/>
    <n v="9.3751323274097693"/>
    <n v="4.0222827595616844"/>
    <n v="8.9291948377019033"/>
    <n v="3.5141455060435396"/>
    <n v="0.45706371313991645"/>
  </r>
  <r>
    <x v="1"/>
    <x v="0"/>
    <n v="203"/>
    <n v="18.460999999999999"/>
    <n v="8.6940000000000008"/>
    <n v="8.6858535529615448"/>
    <n v="4.0905048908210651"/>
    <n v="8.9291948377019033"/>
    <n v="3.5141455060435396"/>
    <n v="0.39140512128021587"/>
  </r>
  <r>
    <x v="1"/>
    <x v="0"/>
    <n v="203"/>
    <n v="19.891999999999999"/>
    <n v="6.7830000000000004"/>
    <n v="9.3591354138730871"/>
    <n v="3.191384250568126"/>
    <n v="8.9291948377019033"/>
    <n v="3.5141455060435396"/>
    <n v="0.28902372707447477"/>
  </r>
  <r>
    <x v="1"/>
    <x v="0"/>
    <n v="203"/>
    <n v="18.047999999999998"/>
    <n v="7.577"/>
    <n v="8.4915381032365502"/>
    <n v="3.5649592313953544"/>
    <n v="8.9291948377019033"/>
    <n v="3.5141455060435396"/>
    <n v="0.1941254519070062"/>
  </r>
  <r>
    <x v="1"/>
    <x v="0"/>
    <n v="203"/>
    <n v="18.702999999999999"/>
    <n v="7.5659999999999998"/>
    <n v="8.7997139375461675"/>
    <n v="3.5597837593687807"/>
    <n v="8.9291948377019033"/>
    <n v="3.5141455060435396"/>
    <n v="1.8848153671718493E-2"/>
  </r>
  <r>
    <x v="1"/>
    <x v="0"/>
    <n v="203"/>
    <n v="18.585000000000001"/>
    <n v="7.5540000000000003"/>
    <n v="8.7441952376247407"/>
    <n v="3.554137789885246"/>
    <n v="8.9291948377019033"/>
    <n v="3.5141455060435396"/>
    <n v="3.5824234795585684E-2"/>
  </r>
  <r>
    <x v="1"/>
    <x v="0"/>
    <n v="203"/>
    <n v="19.273"/>
    <n v="5.5019999999999998"/>
    <n v="9.0678974880140775"/>
    <n v="2.5886770082007704"/>
    <n v="8.9291948377019033"/>
    <n v="3.5141455060435396"/>
    <n v="0.87573036570297302"/>
  </r>
  <r>
    <x v="1"/>
    <x v="0"/>
    <n v="203"/>
    <n v="17.696999999999999"/>
    <n v="6.0839999999999996"/>
    <n v="8.3263934958431545"/>
    <n v="2.8625065281522151"/>
    <n v="8.9291948377019033"/>
    <n v="3.5141455060435396"/>
    <n v="0.78800281525395821"/>
  </r>
  <r>
    <x v="1"/>
    <x v="0"/>
    <n v="203"/>
    <n v="18.634"/>
    <n v="7.5750000000000002"/>
    <n v="8.7672496130158422"/>
    <n v="3.5640182364814317"/>
    <n v="8.9291948377019033"/>
    <n v="3.5141455060435396"/>
    <n v="2.8713545039949457E-2"/>
  </r>
  <r>
    <x v="2"/>
    <x v="0"/>
    <n v="203"/>
    <n v="28.161999999999999"/>
    <n v="8.3699999999999992"/>
    <n v="13.250149382942585"/>
    <n v="3.9380637147656214"/>
    <n v="13.090227297321457"/>
    <n v="3.0394135719696438"/>
    <n v="0.83314715261664241"/>
  </r>
  <r>
    <x v="2"/>
    <x v="0"/>
    <n v="203"/>
    <n v="27.216000000000001"/>
    <n v="7.9370000000000003"/>
    <n v="12.805058788657247"/>
    <n v="3.7343383159014025"/>
    <n v="13.090227297321457"/>
    <n v="3.0394135719696438"/>
    <n v="0.56424147806239"/>
  </r>
  <r>
    <x v="2"/>
    <x v="0"/>
    <n v="203"/>
    <n v="28.481999999999999"/>
    <n v="7.4459999999999997"/>
    <n v="13.400708569170183"/>
    <n v="3.5033240645334311"/>
    <n v="13.090227297321457"/>
    <n v="3.0394135719696438"/>
    <n v="0.31161156527957828"/>
  </r>
  <r>
    <x v="2"/>
    <x v="0"/>
    <n v="203"/>
    <n v="28.265000000000001"/>
    <n v="7.4059999999999997"/>
    <n v="13.298610621009594"/>
    <n v="3.4845041662549812"/>
    <n v="13.090227297321457"/>
    <n v="3.0394135719696438"/>
    <n v="0.24152924671258974"/>
  </r>
  <r>
    <x v="2"/>
    <x v="0"/>
    <n v="203"/>
    <n v="27.832000000000001"/>
    <n v="7.23"/>
    <n v="13.094885222145374"/>
    <n v="3.4016966138298024"/>
    <n v="13.090227297321457"/>
    <n v="3.0394135719696438"/>
    <n v="0.13127069868311469"/>
  </r>
  <r>
    <x v="2"/>
    <x v="0"/>
    <n v="203"/>
    <n v="26.43"/>
    <n v="7.11"/>
    <n v="12.435247787485709"/>
    <n v="3.3452369189944529"/>
    <n v="13.090227297321457"/>
    <n v="3.0394135719696438"/>
    <n v="0.52252607789013328"/>
  </r>
  <r>
    <x v="2"/>
    <x v="0"/>
    <n v="203"/>
    <n v="28.760999999999999"/>
    <n v="4.7270000000000003"/>
    <n v="13.53197735966237"/>
    <n v="2.2240414790558058"/>
    <n v="13.090227297321457"/>
    <n v="3.0394135719696438"/>
    <n v="0.85997476748089352"/>
  </r>
  <r>
    <x v="2"/>
    <x v="0"/>
    <n v="203"/>
    <n v="27.312999999999999"/>
    <n v="5.4109999999999996"/>
    <n v="12.850697041982487"/>
    <n v="2.5458617396172971"/>
    <n v="13.090227297321457"/>
    <n v="3.0394135719696438"/>
    <n v="0.30096815444111097"/>
  </r>
  <r>
    <x v="2"/>
    <x v="0"/>
    <n v="203"/>
    <n v="28.053999999999998"/>
    <n v="4.43"/>
    <n v="13.199335657590771"/>
    <n v="2.0843037343383157"/>
    <n v="13.090227297321457"/>
    <n v="3.0394135719696438"/>
    <n v="0.92413943622080019"/>
  </r>
  <r>
    <x v="2"/>
    <x v="0"/>
    <n v="203"/>
    <n v="27.706"/>
    <n v="4.5330000000000004"/>
    <n v="13.035602542568258"/>
    <n v="2.1327649724053241"/>
    <n v="13.090227297321457"/>
    <n v="3.0394135719696438"/>
    <n v="0.824995546923789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O1:Q5" firstHeaderRow="0" firstDataRow="1" firstDataCol="1"/>
  <pivotFields count="10">
    <pivotField axis="axisRow" dataField="1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Radius^2" fld="9" baseField="0" baseItem="0" numFmtId="2"/>
    <dataField name="Count of Group" fld="0" subtotal="count" baseField="2" baseItem="0"/>
  </dataFields>
  <formats count="10">
    <format dxfId="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0" type="button" dataOnly="0" labelOnly="1" outline="0" axis="axisRow" fieldPosition="0"/>
    </format>
    <format dxfId="3">
      <pivotArea field="1" type="button" dataOnly="0" labelOnly="1" outline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allistipedia.com/index.php?title=Ballistic_Accuracy_Classific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/>
  </sheetViews>
  <sheetFormatPr defaultRowHeight="12.5" x14ac:dyDescent="0.25"/>
  <cols>
    <col min="1" max="1" width="90.90625" customWidth="1"/>
  </cols>
  <sheetData>
    <row r="1" spans="1:1" ht="19.5" thickBot="1" x14ac:dyDescent="0.45">
      <c r="A1" s="81" t="s">
        <v>25</v>
      </c>
    </row>
    <row r="2" spans="1:1" ht="13" thickTop="1" x14ac:dyDescent="0.25"/>
    <row r="3" spans="1:1" ht="17" thickBot="1" x14ac:dyDescent="0.4">
      <c r="A3" s="82" t="s">
        <v>35</v>
      </c>
    </row>
    <row r="4" spans="1:1" s="52" customFormat="1" ht="13" thickTop="1" x14ac:dyDescent="0.25">
      <c r="A4" s="52" t="s">
        <v>28</v>
      </c>
    </row>
    <row r="5" spans="1:1" s="52" customFormat="1" ht="26" x14ac:dyDescent="0.3">
      <c r="A5" s="83" t="s">
        <v>36</v>
      </c>
    </row>
    <row r="6" spans="1:1" s="52" customFormat="1" ht="25.5" x14ac:dyDescent="0.25">
      <c r="A6" s="83" t="s">
        <v>37</v>
      </c>
    </row>
    <row r="7" spans="1:1" s="52" customFormat="1" x14ac:dyDescent="0.25"/>
    <row r="8" spans="1:1" s="52" customFormat="1" ht="17" thickBot="1" x14ac:dyDescent="0.4">
      <c r="A8" s="82" t="s">
        <v>34</v>
      </c>
    </row>
    <row r="9" spans="1:1" s="52" customFormat="1" ht="13" thickTop="1" x14ac:dyDescent="0.25">
      <c r="A9" s="52" t="s">
        <v>29</v>
      </c>
    </row>
    <row r="10" spans="1:1" x14ac:dyDescent="0.25">
      <c r="A10" t="s">
        <v>33</v>
      </c>
    </row>
    <row r="11" spans="1:1" ht="13" x14ac:dyDescent="0.3">
      <c r="A11" t="s">
        <v>39</v>
      </c>
    </row>
  </sheetData>
  <hyperlinks>
    <hyperlink ref="A1" r:id="rId1" location="Classifying_a_Specime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pane ySplit="2" topLeftCell="A3" activePane="bottomLeft" state="frozen"/>
      <selection pane="bottomLeft"/>
    </sheetView>
  </sheetViews>
  <sheetFormatPr defaultRowHeight="12.5" x14ac:dyDescent="0.25"/>
  <cols>
    <col min="1" max="1" width="8.26953125" style="28" bestFit="1" customWidth="1"/>
    <col min="2" max="3" width="13.26953125" style="33" customWidth="1"/>
    <col min="4" max="5" width="8.7265625" style="6"/>
    <col min="6" max="6" width="8.7265625" style="5"/>
    <col min="7" max="7" width="8.7265625" style="6"/>
    <col min="8" max="9" width="8.7265625" style="52"/>
    <col min="10" max="10" width="8.7265625" style="28"/>
    <col min="11" max="11" width="8.7265625" style="6"/>
    <col min="12" max="12" width="18.36328125" style="52" bestFit="1" customWidth="1"/>
    <col min="13" max="14" width="7.26953125" style="1" customWidth="1"/>
    <col min="15" max="15" width="11.08984375" style="6" customWidth="1"/>
    <col min="16" max="16" width="10.90625" style="6" customWidth="1"/>
    <col min="17" max="17" width="11.54296875" style="9" customWidth="1"/>
    <col min="18" max="19" width="8.7265625" style="1"/>
    <col min="20" max="16384" width="8.7265625" style="6"/>
  </cols>
  <sheetData>
    <row r="1" spans="1:23" ht="13.5" thickBot="1" x14ac:dyDescent="0.35">
      <c r="A1" s="77" t="s">
        <v>26</v>
      </c>
      <c r="B1" s="78" t="s">
        <v>18</v>
      </c>
      <c r="C1" s="79"/>
      <c r="D1" s="79" t="s">
        <v>17</v>
      </c>
      <c r="E1" s="80"/>
      <c r="F1" s="78" t="s">
        <v>14</v>
      </c>
      <c r="G1" s="79"/>
      <c r="H1" s="79"/>
      <c r="I1" s="79"/>
      <c r="J1" s="80"/>
      <c r="L1" s="73" t="s">
        <v>31</v>
      </c>
      <c r="M1" s="74">
        <f>ROUND(10*M3,0)</f>
        <v>5</v>
      </c>
      <c r="N1"/>
      <c r="O1" s="50" t="s">
        <v>7</v>
      </c>
      <c r="P1" s="41" t="s">
        <v>13</v>
      </c>
      <c r="Q1" s="48" t="s">
        <v>8</v>
      </c>
      <c r="R1" s="48" t="s">
        <v>9</v>
      </c>
      <c r="S1" s="48" t="s">
        <v>10</v>
      </c>
      <c r="T1" s="60" t="s">
        <v>12</v>
      </c>
      <c r="U1" s="61">
        <v>0.8</v>
      </c>
      <c r="V1" s="35"/>
    </row>
    <row r="2" spans="1:23" ht="13" x14ac:dyDescent="0.3">
      <c r="A2" s="30" t="s">
        <v>27</v>
      </c>
      <c r="B2" s="26" t="s">
        <v>19</v>
      </c>
      <c r="C2" s="26" t="s">
        <v>20</v>
      </c>
      <c r="D2" s="26" t="s">
        <v>21</v>
      </c>
      <c r="E2" s="26" t="s">
        <v>22</v>
      </c>
      <c r="F2" s="27" t="s">
        <v>2</v>
      </c>
      <c r="G2" s="27" t="s">
        <v>1</v>
      </c>
      <c r="H2" s="27" t="s">
        <v>4</v>
      </c>
      <c r="I2" s="27" t="s">
        <v>3</v>
      </c>
      <c r="J2" s="29" t="s">
        <v>0</v>
      </c>
      <c r="L2" s="71" t="s">
        <v>30</v>
      </c>
      <c r="M2" s="72">
        <f>S2*SQRT(Q2*O2/(2*P2))</f>
        <v>0.47834078212709352</v>
      </c>
      <c r="N2"/>
      <c r="O2" s="6">
        <f>SUM(J:J)</f>
        <v>13.157066799405566</v>
      </c>
      <c r="P2" s="6">
        <f>COUNT(J:J)</f>
        <v>30</v>
      </c>
      <c r="Q2" s="58">
        <f t="shared" ref="Q2" si="0">P2/(P2-1)</f>
        <v>1.0344827586206897</v>
      </c>
      <c r="R2" s="58">
        <f t="shared" ref="R2" si="1">2*P2-1</f>
        <v>59</v>
      </c>
      <c r="S2" s="58">
        <f t="shared" ref="S2" si="2">1/EXP(LN(SQRT(2/(R2-1))) + GAMMALN(R2/2) - GAMMALN((R2-1)/2))</f>
        <v>1.0043194333267089</v>
      </c>
      <c r="T2" s="59">
        <f>SQRT(O2/CHIINV((1-U1)/2,2*P2-2))</f>
        <v>0.42700380784642589</v>
      </c>
      <c r="U2" s="25">
        <f>SQRT(O2/CHIINV(0.5+U1/2,2*P2-2))</f>
        <v>0.54255662404856086</v>
      </c>
      <c r="W2" s="53"/>
    </row>
    <row r="3" spans="1:23" x14ac:dyDescent="0.25">
      <c r="A3" s="31">
        <v>203</v>
      </c>
      <c r="B3" s="54">
        <v>9.8000000000000007</v>
      </c>
      <c r="C3" s="54">
        <v>7.6550000000000002</v>
      </c>
      <c r="D3" s="4">
        <v>11.321</v>
      </c>
      <c r="E3" s="4">
        <v>9.2530000000000001</v>
      </c>
      <c r="F3" s="5">
        <f>(D3-B3)/(0.01047*$A3)</f>
        <v>0.71562663203805332</v>
      </c>
      <c r="G3" s="5">
        <f>(E3-C3)/(0.01047*$A3)</f>
        <v>0.75185493622406963</v>
      </c>
      <c r="H3" s="55">
        <f>AVERAGE(F:F)</f>
        <v>0.20272167095603458</v>
      </c>
      <c r="I3" s="55">
        <f>AVERAGE(G:G)</f>
        <v>8.0972612343030131E-2</v>
      </c>
      <c r="J3" s="7">
        <f>POWER(F3-H3,2)+POWER(G3-I3,2)</f>
        <v>0.7131545915985712</v>
      </c>
      <c r="L3" s="75" t="s">
        <v>32</v>
      </c>
      <c r="M3" s="76">
        <f>SQRT(O2/CHIINV(0.9,2*P2-2))</f>
        <v>0.54255662404856086</v>
      </c>
      <c r="N3" s="70"/>
    </row>
    <row r="4" spans="1:23" x14ac:dyDescent="0.25">
      <c r="A4" s="31">
        <v>203</v>
      </c>
      <c r="B4" s="54">
        <v>9.8000000000000007</v>
      </c>
      <c r="C4" s="54">
        <v>7.6550000000000002</v>
      </c>
      <c r="D4" s="4">
        <v>12.326000000000001</v>
      </c>
      <c r="E4" s="4">
        <v>7.5090000000000003</v>
      </c>
      <c r="F4" s="55">
        <f t="shared" ref="F4:F32" si="3">(D4-B4)/(0.01047*$A4)</f>
        <v>1.188476576284105</v>
      </c>
      <c r="G4" s="55">
        <f t="shared" ref="G4:G32" si="4">(E4-C4)/(0.01047*$A4)</f>
        <v>-6.8692628716341742E-2</v>
      </c>
      <c r="H4" s="55">
        <f t="shared" ref="H4:H32" si="5">AVERAGE(F:F)</f>
        <v>0.20272167095603458</v>
      </c>
      <c r="I4" s="55">
        <f t="shared" ref="I4:I32" si="6">AVERAGE(G:G)</f>
        <v>8.0972612343030131E-2</v>
      </c>
      <c r="J4" s="56">
        <f t="shared" ref="J4:J32" si="7">POWER(F4-H4,2)+POWER(G4-I4,2)</f>
        <v>0.99411241775971293</v>
      </c>
    </row>
    <row r="5" spans="1:23" x14ac:dyDescent="0.25">
      <c r="A5" s="31">
        <v>203</v>
      </c>
      <c r="B5" s="54">
        <v>9.8000000000000007</v>
      </c>
      <c r="C5" s="54">
        <v>7.6550000000000002</v>
      </c>
      <c r="D5" s="4">
        <v>11.153</v>
      </c>
      <c r="E5" s="4">
        <v>8.0459999999999994</v>
      </c>
      <c r="F5" s="55">
        <f t="shared" si="3"/>
        <v>0.63658305926856451</v>
      </c>
      <c r="G5" s="55">
        <f t="shared" si="4"/>
        <v>0.18396450567184644</v>
      </c>
      <c r="H5" s="55">
        <f t="shared" si="5"/>
        <v>0.20272167095603458</v>
      </c>
      <c r="I5" s="55">
        <f t="shared" si="6"/>
        <v>8.0972612343030131E-2</v>
      </c>
      <c r="J5" s="56">
        <f t="shared" si="7"/>
        <v>0.1988430343599302</v>
      </c>
    </row>
    <row r="6" spans="1:23" x14ac:dyDescent="0.25">
      <c r="A6" s="31">
        <v>203</v>
      </c>
      <c r="B6" s="54">
        <v>9.8000000000000007</v>
      </c>
      <c r="C6" s="54">
        <v>7.6550000000000002</v>
      </c>
      <c r="D6" s="4">
        <v>11.108000000000001</v>
      </c>
      <c r="E6" s="4">
        <v>7.5659999999999998</v>
      </c>
      <c r="F6" s="55">
        <f t="shared" si="3"/>
        <v>0.61541067370530855</v>
      </c>
      <c r="G6" s="55">
        <f t="shared" si="4"/>
        <v>-4.1874273669551008E-2</v>
      </c>
      <c r="H6" s="55">
        <f t="shared" si="5"/>
        <v>0.20272167095603458</v>
      </c>
      <c r="I6" s="55">
        <f t="shared" si="6"/>
        <v>8.0972612343030131E-2</v>
      </c>
      <c r="J6" s="56">
        <f t="shared" si="7"/>
        <v>0.1854035703931784</v>
      </c>
    </row>
    <row r="7" spans="1:23" x14ac:dyDescent="0.25">
      <c r="A7" s="31">
        <v>203</v>
      </c>
      <c r="B7" s="54">
        <v>9.8000000000000007</v>
      </c>
      <c r="C7" s="54">
        <v>7.6550000000000002</v>
      </c>
      <c r="D7" s="4">
        <v>10.593999999999999</v>
      </c>
      <c r="E7" s="4">
        <v>8.8279999999999994</v>
      </c>
      <c r="F7" s="55">
        <f t="shared" si="3"/>
        <v>0.37357498082722801</v>
      </c>
      <c r="G7" s="55">
        <f t="shared" si="4"/>
        <v>0.55189351701554012</v>
      </c>
      <c r="H7" s="55">
        <f t="shared" si="5"/>
        <v>0.20272167095603458</v>
      </c>
      <c r="I7" s="55">
        <f t="shared" si="6"/>
        <v>8.0972612343030131E-2</v>
      </c>
      <c r="J7" s="56">
        <f t="shared" si="7"/>
        <v>0.2509573519515173</v>
      </c>
    </row>
    <row r="8" spans="1:23" x14ac:dyDescent="0.25">
      <c r="A8" s="31">
        <v>203</v>
      </c>
      <c r="B8" s="54">
        <v>9.8000000000000007</v>
      </c>
      <c r="C8" s="54">
        <v>7.6550000000000002</v>
      </c>
      <c r="D8" s="4">
        <v>10.315</v>
      </c>
      <c r="E8" s="4">
        <v>8.66</v>
      </c>
      <c r="F8" s="55">
        <f t="shared" si="3"/>
        <v>0.24230619033504067</v>
      </c>
      <c r="G8" s="55">
        <f t="shared" si="4"/>
        <v>0.47284994424605131</v>
      </c>
      <c r="H8" s="55">
        <f t="shared" si="5"/>
        <v>0.20272167095603458</v>
      </c>
      <c r="I8" s="55">
        <f t="shared" si="6"/>
        <v>8.0972612343030131E-2</v>
      </c>
      <c r="J8" s="56">
        <f t="shared" si="7"/>
        <v>0.15513477743389756</v>
      </c>
    </row>
    <row r="9" spans="1:23" x14ac:dyDescent="0.25">
      <c r="A9" s="31">
        <v>203</v>
      </c>
      <c r="B9" s="54">
        <v>9.8000000000000007</v>
      </c>
      <c r="C9" s="54">
        <v>7.6550000000000002</v>
      </c>
      <c r="D9" s="4">
        <v>10.27</v>
      </c>
      <c r="E9" s="4">
        <v>7.5540000000000003</v>
      </c>
      <c r="F9" s="55">
        <f t="shared" si="3"/>
        <v>0.22113380477178468</v>
      </c>
      <c r="G9" s="55">
        <f t="shared" si="4"/>
        <v>-4.7520243153085749E-2</v>
      </c>
      <c r="H9" s="55">
        <f t="shared" si="5"/>
        <v>0.20272167095603458</v>
      </c>
      <c r="I9" s="55">
        <f t="shared" si="6"/>
        <v>8.0972612343030131E-2</v>
      </c>
      <c r="J9" s="56">
        <f t="shared" si="7"/>
        <v>1.684942058519481E-2</v>
      </c>
    </row>
    <row r="10" spans="1:23" x14ac:dyDescent="0.25">
      <c r="A10" s="31">
        <v>203</v>
      </c>
      <c r="B10" s="54">
        <v>9.8000000000000007</v>
      </c>
      <c r="C10" s="54">
        <v>7.6550000000000002</v>
      </c>
      <c r="D10" s="4">
        <v>10.259</v>
      </c>
      <c r="E10" s="4">
        <v>7.3529999999999998</v>
      </c>
      <c r="F10" s="55">
        <f t="shared" si="3"/>
        <v>0.21595833274521134</v>
      </c>
      <c r="G10" s="55">
        <f t="shared" si="4"/>
        <v>-0.14209023200229626</v>
      </c>
      <c r="H10" s="55">
        <f t="shared" si="5"/>
        <v>0.20272167095603458</v>
      </c>
      <c r="I10" s="55">
        <f t="shared" si="6"/>
        <v>8.0972612343030131E-2</v>
      </c>
      <c r="J10" s="56">
        <f t="shared" si="7"/>
        <v>4.9932241742748365E-2</v>
      </c>
    </row>
    <row r="11" spans="1:23" x14ac:dyDescent="0.25">
      <c r="A11" s="31">
        <v>203</v>
      </c>
      <c r="B11" s="54">
        <v>9.8000000000000007</v>
      </c>
      <c r="C11" s="54">
        <v>7.6550000000000002</v>
      </c>
      <c r="D11" s="4">
        <v>9.7219999999999995</v>
      </c>
      <c r="E11" s="4">
        <v>7.141</v>
      </c>
      <c r="F11" s="55">
        <f t="shared" si="3"/>
        <v>-3.6698801642977674E-2</v>
      </c>
      <c r="G11" s="55">
        <f t="shared" si="4"/>
        <v>-0.2418356928780801</v>
      </c>
      <c r="H11" s="55">
        <f t="shared" si="5"/>
        <v>0.20272167095603458</v>
      </c>
      <c r="I11" s="55">
        <f t="shared" si="6"/>
        <v>8.0972612343030131E-2</v>
      </c>
      <c r="J11" s="56">
        <f t="shared" si="7"/>
        <v>0.16152736461925987</v>
      </c>
    </row>
    <row r="12" spans="1:23" x14ac:dyDescent="0.25">
      <c r="A12" s="31">
        <v>203</v>
      </c>
      <c r="B12" s="40">
        <v>9.8000000000000007</v>
      </c>
      <c r="C12" s="40">
        <v>7.6550000000000002</v>
      </c>
      <c r="D12" s="40">
        <v>8.5150000000000006</v>
      </c>
      <c r="E12" s="40">
        <v>7.633</v>
      </c>
      <c r="F12" s="55">
        <f t="shared" si="3"/>
        <v>-0.6045892321952</v>
      </c>
      <c r="G12" s="55">
        <f t="shared" si="4"/>
        <v>-1.0350944053147506E-2</v>
      </c>
      <c r="H12" s="55">
        <f t="shared" si="5"/>
        <v>0.20272167095603458</v>
      </c>
      <c r="I12" s="55">
        <f t="shared" si="6"/>
        <v>8.0972612343030131E-2</v>
      </c>
      <c r="J12" s="56">
        <f t="shared" si="7"/>
        <v>0.66009088629970791</v>
      </c>
    </row>
    <row r="13" spans="1:23" x14ac:dyDescent="0.25">
      <c r="A13" s="31">
        <v>203</v>
      </c>
      <c r="B13" s="54">
        <v>18.696000000000002</v>
      </c>
      <c r="C13" s="54">
        <v>7.2190000000000003</v>
      </c>
      <c r="D13" s="4">
        <v>20.562999999999999</v>
      </c>
      <c r="E13" s="4">
        <v>8.8059999999999992</v>
      </c>
      <c r="F13" s="55">
        <f t="shared" si="3"/>
        <v>0.87841875214664333</v>
      </c>
      <c r="G13" s="55">
        <f t="shared" si="4"/>
        <v>0.74667946419749542</v>
      </c>
      <c r="H13" s="55">
        <f t="shared" si="5"/>
        <v>0.20272167095603458</v>
      </c>
      <c r="I13" s="55">
        <f t="shared" si="6"/>
        <v>8.0972612343030131E-2</v>
      </c>
      <c r="J13" s="56">
        <f t="shared" si="7"/>
        <v>0.89973215813549112</v>
      </c>
    </row>
    <row r="14" spans="1:23" x14ac:dyDescent="0.25">
      <c r="A14" s="31">
        <v>203</v>
      </c>
      <c r="B14" s="54">
        <v>18.696000000000002</v>
      </c>
      <c r="C14" s="54">
        <v>7.2190000000000003</v>
      </c>
      <c r="D14" s="4">
        <v>19.925999999999998</v>
      </c>
      <c r="E14" s="4">
        <v>8.5489999999999995</v>
      </c>
      <c r="F14" s="55">
        <f t="shared" si="3"/>
        <v>0.57871187206232999</v>
      </c>
      <c r="G14" s="55">
        <f t="shared" si="4"/>
        <v>0.62576161775845562</v>
      </c>
      <c r="H14" s="55">
        <f t="shared" si="5"/>
        <v>0.20272167095603458</v>
      </c>
      <c r="I14" s="55">
        <f t="shared" si="6"/>
        <v>8.0972612343030131E-2</v>
      </c>
      <c r="J14" s="56">
        <f t="shared" si="7"/>
        <v>0.438163691749481</v>
      </c>
    </row>
    <row r="15" spans="1:23" x14ac:dyDescent="0.25">
      <c r="A15" s="31">
        <v>203</v>
      </c>
      <c r="B15" s="54">
        <v>18.696000000000002</v>
      </c>
      <c r="C15" s="54">
        <v>7.2190000000000003</v>
      </c>
      <c r="D15" s="4">
        <v>18.460999999999999</v>
      </c>
      <c r="E15" s="4">
        <v>8.6940000000000008</v>
      </c>
      <c r="F15" s="55">
        <f t="shared" si="3"/>
        <v>-0.11056690238589401</v>
      </c>
      <c r="G15" s="55">
        <f t="shared" si="4"/>
        <v>0.69398374901783677</v>
      </c>
      <c r="H15" s="55">
        <f t="shared" si="5"/>
        <v>0.20272167095603458</v>
      </c>
      <c r="I15" s="55">
        <f t="shared" si="6"/>
        <v>8.0972612343030131E-2</v>
      </c>
      <c r="J15" s="56">
        <f t="shared" si="7"/>
        <v>0.47393238387395947</v>
      </c>
    </row>
    <row r="16" spans="1:23" x14ac:dyDescent="0.25">
      <c r="A16" s="31">
        <v>203</v>
      </c>
      <c r="B16" s="54">
        <v>18.696000000000002</v>
      </c>
      <c r="C16" s="54">
        <v>7.2190000000000003</v>
      </c>
      <c r="D16" s="4">
        <v>19.891999999999999</v>
      </c>
      <c r="E16" s="4">
        <v>6.7830000000000004</v>
      </c>
      <c r="F16" s="55">
        <f t="shared" si="3"/>
        <v>0.56271495852564823</v>
      </c>
      <c r="G16" s="55">
        <f t="shared" si="4"/>
        <v>-0.20513689123510284</v>
      </c>
      <c r="H16" s="55">
        <f t="shared" si="5"/>
        <v>0.20272167095603458</v>
      </c>
      <c r="I16" s="55">
        <f t="shared" si="6"/>
        <v>8.0972612343030131E-2</v>
      </c>
      <c r="J16" s="56">
        <f t="shared" si="7"/>
        <v>0.21145381513290426</v>
      </c>
    </row>
    <row r="17" spans="1:10" x14ac:dyDescent="0.25">
      <c r="A17" s="31">
        <v>203</v>
      </c>
      <c r="B17" s="54">
        <v>18.696000000000002</v>
      </c>
      <c r="C17" s="54">
        <v>7.2190000000000003</v>
      </c>
      <c r="D17" s="4">
        <v>18.047999999999998</v>
      </c>
      <c r="E17" s="4">
        <v>7.577</v>
      </c>
      <c r="F17" s="55">
        <f t="shared" si="3"/>
        <v>-0.30488235211088838</v>
      </c>
      <c r="G17" s="55">
        <f t="shared" si="4"/>
        <v>0.16843808959212558</v>
      </c>
      <c r="H17" s="55">
        <f t="shared" si="5"/>
        <v>0.20272167095603458</v>
      </c>
      <c r="I17" s="55">
        <f t="shared" si="6"/>
        <v>8.0972612343030131E-2</v>
      </c>
      <c r="J17" s="56">
        <f t="shared" si="7"/>
        <v>0.26531205394413732</v>
      </c>
    </row>
    <row r="18" spans="1:10" x14ac:dyDescent="0.25">
      <c r="A18" s="31">
        <v>203</v>
      </c>
      <c r="B18" s="54">
        <v>18.696000000000002</v>
      </c>
      <c r="C18" s="54">
        <v>7.2190000000000003</v>
      </c>
      <c r="D18" s="4">
        <v>18.702999999999999</v>
      </c>
      <c r="E18" s="4">
        <v>7.5659999999999998</v>
      </c>
      <c r="F18" s="55">
        <f t="shared" si="3"/>
        <v>3.2934821987277265E-3</v>
      </c>
      <c r="G18" s="55">
        <f t="shared" si="4"/>
        <v>0.16326261756555183</v>
      </c>
      <c r="H18" s="55">
        <f t="shared" si="5"/>
        <v>0.20272167095603458</v>
      </c>
      <c r="I18" s="55">
        <f t="shared" si="6"/>
        <v>8.0972612343030131E-2</v>
      </c>
      <c r="J18" s="56">
        <f t="shared" si="7"/>
        <v>4.6543247430542667E-2</v>
      </c>
    </row>
    <row r="19" spans="1:10" x14ac:dyDescent="0.25">
      <c r="A19" s="31">
        <v>203</v>
      </c>
      <c r="B19" s="54">
        <v>18.696000000000002</v>
      </c>
      <c r="C19" s="54">
        <v>7.2190000000000003</v>
      </c>
      <c r="D19" s="4">
        <v>18.585000000000001</v>
      </c>
      <c r="E19" s="4">
        <v>7.5540000000000003</v>
      </c>
      <c r="F19" s="55">
        <f t="shared" si="3"/>
        <v>-5.2225217722698516E-2</v>
      </c>
      <c r="G19" s="55">
        <f t="shared" si="4"/>
        <v>0.15761664808201709</v>
      </c>
      <c r="H19" s="55">
        <f t="shared" si="5"/>
        <v>0.20272167095603458</v>
      </c>
      <c r="I19" s="55">
        <f t="shared" si="6"/>
        <v>8.0972612343030131E-2</v>
      </c>
      <c r="J19" s="56">
        <f t="shared" si="7"/>
        <v>7.0872224261325445E-2</v>
      </c>
    </row>
    <row r="20" spans="1:10" x14ac:dyDescent="0.25">
      <c r="A20" s="31">
        <v>203</v>
      </c>
      <c r="B20" s="54">
        <v>18.696000000000002</v>
      </c>
      <c r="C20" s="54">
        <v>7.2190000000000003</v>
      </c>
      <c r="D20" s="4">
        <v>19.273</v>
      </c>
      <c r="E20" s="4">
        <v>5.5019999999999998</v>
      </c>
      <c r="F20" s="55">
        <f t="shared" si="3"/>
        <v>0.27147703266663759</v>
      </c>
      <c r="G20" s="55">
        <f t="shared" si="4"/>
        <v>-0.8078441336024581</v>
      </c>
      <c r="H20" s="55">
        <f t="shared" si="5"/>
        <v>0.20272167095603458</v>
      </c>
      <c r="I20" s="55">
        <f t="shared" si="6"/>
        <v>8.0972612343030131E-2</v>
      </c>
      <c r="J20" s="56">
        <f t="shared" si="7"/>
        <v>0.7947225076370823</v>
      </c>
    </row>
    <row r="21" spans="1:10" x14ac:dyDescent="0.25">
      <c r="A21" s="31">
        <v>203</v>
      </c>
      <c r="B21" s="54">
        <v>18.696000000000002</v>
      </c>
      <c r="C21" s="54">
        <v>7.2190000000000003</v>
      </c>
      <c r="D21" s="4">
        <v>17.696999999999999</v>
      </c>
      <c r="E21" s="4">
        <v>6.0839999999999996</v>
      </c>
      <c r="F21" s="55">
        <f t="shared" si="3"/>
        <v>-0.47002695950428497</v>
      </c>
      <c r="G21" s="55">
        <f t="shared" si="4"/>
        <v>-0.53401461365101355</v>
      </c>
      <c r="H21" s="55">
        <f t="shared" si="5"/>
        <v>0.20272167095603458</v>
      </c>
      <c r="I21" s="55">
        <f t="shared" si="6"/>
        <v>8.0972612343030131E-2</v>
      </c>
      <c r="J21" s="56">
        <f t="shared" si="7"/>
        <v>0.83080000792208453</v>
      </c>
    </row>
    <row r="22" spans="1:10" x14ac:dyDescent="0.25">
      <c r="A22" s="31">
        <v>203</v>
      </c>
      <c r="B22" s="40">
        <v>18.696000000000002</v>
      </c>
      <c r="C22" s="40">
        <v>7.2190000000000003</v>
      </c>
      <c r="D22" s="40">
        <v>18.634</v>
      </c>
      <c r="E22" s="40">
        <v>7.5750000000000002</v>
      </c>
      <c r="F22" s="55">
        <f t="shared" si="3"/>
        <v>-2.9170842331597745E-2</v>
      </c>
      <c r="G22" s="55">
        <f t="shared" si="4"/>
        <v>0.1674970946782032</v>
      </c>
      <c r="H22" s="55">
        <f t="shared" si="5"/>
        <v>0.20272167095603458</v>
      </c>
      <c r="I22" s="55">
        <f t="shared" si="6"/>
        <v>8.0972612343030131E-2</v>
      </c>
      <c r="J22" s="56">
        <f t="shared" si="7"/>
        <v>6.1260623762224416E-2</v>
      </c>
    </row>
    <row r="23" spans="1:10" x14ac:dyDescent="0.25">
      <c r="A23" s="31">
        <v>203</v>
      </c>
      <c r="B23" s="54">
        <v>27.57</v>
      </c>
      <c r="C23" s="54">
        <v>6.4930000000000003</v>
      </c>
      <c r="D23" s="4">
        <v>28.161999999999999</v>
      </c>
      <c r="E23" s="4">
        <v>8.3699999999999992</v>
      </c>
      <c r="F23" s="55">
        <f t="shared" si="3"/>
        <v>0.2785344945210565</v>
      </c>
      <c r="G23" s="55">
        <f t="shared" si="4"/>
        <v>0.88312372671625661</v>
      </c>
      <c r="H23" s="55">
        <f t="shared" si="5"/>
        <v>0.20272167095603458</v>
      </c>
      <c r="I23" s="55">
        <f t="shared" si="6"/>
        <v>8.0972612343030131E-2</v>
      </c>
      <c r="J23" s="56">
        <f t="shared" si="7"/>
        <v>0.64919399450711024</v>
      </c>
    </row>
    <row r="24" spans="1:10" x14ac:dyDescent="0.25">
      <c r="A24" s="31">
        <v>203</v>
      </c>
      <c r="B24" s="54">
        <v>27.57</v>
      </c>
      <c r="C24" s="54">
        <v>6.4930000000000003</v>
      </c>
      <c r="D24" s="4">
        <v>27.216000000000001</v>
      </c>
      <c r="E24" s="4">
        <v>7.9370000000000003</v>
      </c>
      <c r="F24" s="55">
        <f t="shared" si="3"/>
        <v>-0.1665560997642804</v>
      </c>
      <c r="G24" s="55">
        <f t="shared" si="4"/>
        <v>0.67939832785203791</v>
      </c>
      <c r="H24" s="55">
        <f t="shared" si="5"/>
        <v>0.20272167095603458</v>
      </c>
      <c r="I24" s="55">
        <f t="shared" si="6"/>
        <v>8.0972612343030131E-2</v>
      </c>
      <c r="J24" s="56">
        <f t="shared" si="7"/>
        <v>0.49447940893063347</v>
      </c>
    </row>
    <row r="25" spans="1:10" x14ac:dyDescent="0.25">
      <c r="A25" s="31">
        <v>203</v>
      </c>
      <c r="B25" s="54">
        <v>27.57</v>
      </c>
      <c r="C25" s="54">
        <v>6.4930000000000003</v>
      </c>
      <c r="D25" s="4">
        <v>28.481999999999999</v>
      </c>
      <c r="E25" s="4">
        <v>7.4459999999999997</v>
      </c>
      <c r="F25" s="55">
        <f t="shared" si="3"/>
        <v>0.42909368074865512</v>
      </c>
      <c r="G25" s="55">
        <f t="shared" si="4"/>
        <v>0.44838407648406631</v>
      </c>
      <c r="H25" s="55">
        <f t="shared" si="5"/>
        <v>0.20272167095603458</v>
      </c>
      <c r="I25" s="55">
        <f t="shared" si="6"/>
        <v>8.0972612343030131E-2</v>
      </c>
      <c r="J25" s="56">
        <f t="shared" si="7"/>
        <v>0.18623547079981023</v>
      </c>
    </row>
    <row r="26" spans="1:10" x14ac:dyDescent="0.25">
      <c r="A26" s="31">
        <v>203</v>
      </c>
      <c r="B26" s="54">
        <v>27.57</v>
      </c>
      <c r="C26" s="54">
        <v>6.4930000000000003</v>
      </c>
      <c r="D26" s="4">
        <v>28.265000000000001</v>
      </c>
      <c r="E26" s="4">
        <v>7.4059999999999997</v>
      </c>
      <c r="F26" s="55">
        <f t="shared" si="3"/>
        <v>0.32699573258806547</v>
      </c>
      <c r="G26" s="55">
        <f t="shared" si="4"/>
        <v>0.42956417820561649</v>
      </c>
      <c r="H26" s="55">
        <f t="shared" si="5"/>
        <v>0.20272167095603458</v>
      </c>
      <c r="I26" s="55">
        <f t="shared" si="6"/>
        <v>8.0972612343030131E-2</v>
      </c>
      <c r="J26" s="56">
        <f t="shared" si="7"/>
        <v>0.13696012218505169</v>
      </c>
    </row>
    <row r="27" spans="1:10" x14ac:dyDescent="0.25">
      <c r="A27" s="31">
        <v>203</v>
      </c>
      <c r="B27" s="54">
        <v>27.57</v>
      </c>
      <c r="C27" s="54">
        <v>6.4930000000000003</v>
      </c>
      <c r="D27" s="4">
        <v>27.832000000000001</v>
      </c>
      <c r="E27" s="4">
        <v>7.23</v>
      </c>
      <c r="F27" s="55">
        <f t="shared" si="3"/>
        <v>0.12327033372384644</v>
      </c>
      <c r="G27" s="55">
        <f t="shared" si="4"/>
        <v>0.3467566257804377</v>
      </c>
      <c r="H27" s="55">
        <f t="shared" si="5"/>
        <v>0.20272167095603458</v>
      </c>
      <c r="I27" s="55">
        <f t="shared" si="6"/>
        <v>8.0972612343030131E-2</v>
      </c>
      <c r="J27" s="56">
        <f t="shared" si="7"/>
        <v>7.6953656786878918E-2</v>
      </c>
    </row>
    <row r="28" spans="1:10" x14ac:dyDescent="0.25">
      <c r="A28" s="31">
        <v>203</v>
      </c>
      <c r="B28" s="54">
        <v>27.57</v>
      </c>
      <c r="C28" s="54">
        <v>6.4930000000000003</v>
      </c>
      <c r="D28" s="4">
        <v>26.43</v>
      </c>
      <c r="E28" s="4">
        <v>7.11</v>
      </c>
      <c r="F28" s="55">
        <f t="shared" si="3"/>
        <v>-0.53636710093581974</v>
      </c>
      <c r="G28" s="55">
        <f t="shared" si="4"/>
        <v>0.29029693094508824</v>
      </c>
      <c r="H28" s="55">
        <f t="shared" si="5"/>
        <v>0.20272167095603458</v>
      </c>
      <c r="I28" s="55">
        <f t="shared" si="6"/>
        <v>8.0972612343030131E-2</v>
      </c>
      <c r="J28" s="56">
        <f t="shared" si="7"/>
        <v>0.5900688830948253</v>
      </c>
    </row>
    <row r="29" spans="1:10" x14ac:dyDescent="0.25">
      <c r="A29" s="31">
        <v>203</v>
      </c>
      <c r="B29" s="54">
        <v>27.57</v>
      </c>
      <c r="C29" s="54">
        <v>6.4930000000000003</v>
      </c>
      <c r="D29" s="4">
        <v>28.760999999999999</v>
      </c>
      <c r="E29" s="4">
        <v>4.7270000000000003</v>
      </c>
      <c r="F29" s="55">
        <f t="shared" si="3"/>
        <v>0.56036247124084249</v>
      </c>
      <c r="G29" s="55">
        <f t="shared" si="4"/>
        <v>-0.83089850899355888</v>
      </c>
      <c r="H29" s="55">
        <f t="shared" si="5"/>
        <v>0.20272167095603458</v>
      </c>
      <c r="I29" s="55">
        <f t="shared" si="6"/>
        <v>8.0972612343030131E-2</v>
      </c>
      <c r="J29" s="56">
        <f t="shared" si="7"/>
        <v>0.95941588395600608</v>
      </c>
    </row>
    <row r="30" spans="1:10" x14ac:dyDescent="0.25">
      <c r="A30" s="31">
        <v>203</v>
      </c>
      <c r="B30" s="54">
        <v>27.57</v>
      </c>
      <c r="C30" s="54">
        <v>6.4930000000000003</v>
      </c>
      <c r="D30" s="4">
        <v>27.312999999999999</v>
      </c>
      <c r="E30" s="4">
        <v>5.4109999999999996</v>
      </c>
      <c r="F30" s="55">
        <f t="shared" si="3"/>
        <v>-0.12091784643904067</v>
      </c>
      <c r="G30" s="55">
        <f t="shared" si="4"/>
        <v>-0.50907824843206761</v>
      </c>
      <c r="H30" s="55">
        <f t="shared" si="5"/>
        <v>0.20272167095603458</v>
      </c>
      <c r="I30" s="55">
        <f t="shared" si="6"/>
        <v>8.0972612343030131E-2</v>
      </c>
      <c r="J30" s="56">
        <f t="shared" si="7"/>
        <v>0.45290255552115094</v>
      </c>
    </row>
    <row r="31" spans="1:10" x14ac:dyDescent="0.25">
      <c r="A31" s="31">
        <v>203</v>
      </c>
      <c r="B31" s="54">
        <v>27.57</v>
      </c>
      <c r="C31" s="54">
        <v>6.4930000000000003</v>
      </c>
      <c r="D31" s="4">
        <v>28.053999999999998</v>
      </c>
      <c r="E31" s="4">
        <v>4.43</v>
      </c>
      <c r="F31" s="55">
        <f t="shared" si="3"/>
        <v>0.2277207691692418</v>
      </c>
      <c r="G31" s="55">
        <f t="shared" si="4"/>
        <v>-0.970636253711049</v>
      </c>
      <c r="H31" s="55">
        <f t="shared" si="5"/>
        <v>0.20272167095603458</v>
      </c>
      <c r="I31" s="55">
        <f t="shared" si="6"/>
        <v>8.0972612343030131E-2</v>
      </c>
      <c r="J31" s="56">
        <f t="shared" si="7"/>
        <v>1.1065061620750201</v>
      </c>
    </row>
    <row r="32" spans="1:10" x14ac:dyDescent="0.25">
      <c r="A32" s="31">
        <v>203</v>
      </c>
      <c r="B32" s="54">
        <v>27.57</v>
      </c>
      <c r="C32" s="54">
        <v>6.4930000000000003</v>
      </c>
      <c r="D32" s="4">
        <v>27.706</v>
      </c>
      <c r="E32" s="4">
        <v>4.5330000000000004</v>
      </c>
      <c r="F32" s="55">
        <f t="shared" si="3"/>
        <v>6.3987654146728981E-2</v>
      </c>
      <c r="G32" s="55">
        <f t="shared" si="4"/>
        <v>-0.92217501564404036</v>
      </c>
      <c r="H32" s="55">
        <f t="shared" si="5"/>
        <v>0.20272167095603458</v>
      </c>
      <c r="I32" s="55">
        <f t="shared" si="6"/>
        <v>8.0972612343030131E-2</v>
      </c>
      <c r="J32" s="56">
        <f t="shared" si="7"/>
        <v>1.025552290956131</v>
      </c>
    </row>
  </sheetData>
  <mergeCells count="3">
    <mergeCell ref="D1:E1"/>
    <mergeCell ref="F1:J1"/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pane ySplit="1" topLeftCell="A2" activePane="bottomLeft" state="frozen"/>
      <selection pane="bottomLeft" activeCell="A2" sqref="A2"/>
    </sheetView>
  </sheetViews>
  <sheetFormatPr defaultRowHeight="12.5" x14ac:dyDescent="0.25"/>
  <cols>
    <col min="1" max="1" width="6.26953125" bestFit="1" customWidth="1"/>
    <col min="2" max="2" width="8.26953125" style="28" bestFit="1" customWidth="1"/>
    <col min="5" max="5" width="8.90625" style="5"/>
    <col min="7" max="8" width="8.7265625" style="6"/>
    <col min="9" max="9" width="8.90625" style="28"/>
    <col min="10" max="10" width="8.7265625" style="33"/>
    <col min="11" max="11" width="0" hidden="1" customWidth="1"/>
    <col min="12" max="12" width="18.36328125" style="52" bestFit="1" customWidth="1"/>
    <col min="13" max="14" width="8.7265625" style="52"/>
    <col min="15" max="15" width="11.08984375" customWidth="1"/>
    <col min="16" max="16" width="10.90625" customWidth="1"/>
    <col min="17" max="17" width="11.54296875" style="9" customWidth="1"/>
    <col min="18" max="20" width="8.90625" style="1"/>
  </cols>
  <sheetData>
    <row r="1" spans="1:23" ht="13.5" thickBot="1" x14ac:dyDescent="0.35">
      <c r="A1" s="6"/>
      <c r="B1" s="62" t="s">
        <v>26</v>
      </c>
      <c r="C1" s="64" t="s">
        <v>38</v>
      </c>
      <c r="D1" s="65"/>
      <c r="E1" s="66" t="s">
        <v>14</v>
      </c>
      <c r="F1" s="67"/>
      <c r="G1" s="67"/>
      <c r="H1" s="67"/>
      <c r="I1" s="67"/>
      <c r="J1" s="63"/>
      <c r="L1" s="73" t="s">
        <v>31</v>
      </c>
      <c r="M1" s="74">
        <f>ROUND(10*M3,0)</f>
        <v>6</v>
      </c>
      <c r="N1"/>
      <c r="O1" s="15" t="s">
        <v>5</v>
      </c>
      <c r="P1" s="20" t="s">
        <v>7</v>
      </c>
      <c r="Q1" s="21" t="s">
        <v>13</v>
      </c>
      <c r="R1" s="16" t="s">
        <v>8</v>
      </c>
      <c r="S1" s="16" t="s">
        <v>9</v>
      </c>
      <c r="T1" s="16" t="s">
        <v>10</v>
      </c>
      <c r="U1" s="17" t="s">
        <v>11</v>
      </c>
      <c r="V1" s="18" t="s">
        <v>12</v>
      </c>
      <c r="W1" s="19">
        <v>0.8</v>
      </c>
    </row>
    <row r="2" spans="1:23" ht="13" x14ac:dyDescent="0.3">
      <c r="A2" s="26" t="s">
        <v>5</v>
      </c>
      <c r="B2" s="30" t="s">
        <v>27</v>
      </c>
      <c r="C2" s="26" t="s">
        <v>2</v>
      </c>
      <c r="D2" s="26" t="s">
        <v>1</v>
      </c>
      <c r="E2" s="27" t="s">
        <v>2</v>
      </c>
      <c r="F2" s="27" t="s">
        <v>1</v>
      </c>
      <c r="G2" s="27" t="s">
        <v>4</v>
      </c>
      <c r="H2" s="27" t="s">
        <v>3</v>
      </c>
      <c r="I2" s="29" t="s">
        <v>0</v>
      </c>
      <c r="J2" s="84"/>
      <c r="L2" s="71" t="s">
        <v>30</v>
      </c>
      <c r="M2" s="72">
        <f>SQRT(GETPIVOTDATA("Sum Radius^2",$O$1)/CHIINV(0.5,2*GETPIVOTDATA("Count of Group",$O$1)-2*COUNT(O:O)))</f>
        <v>0.4871602588997907</v>
      </c>
      <c r="N2"/>
      <c r="O2" s="6">
        <v>1</v>
      </c>
      <c r="P2" s="22">
        <v>3.1128544836631438</v>
      </c>
      <c r="Q2" s="2">
        <v>10</v>
      </c>
      <c r="R2" s="1">
        <f>Q2/(Q2-1)</f>
        <v>1.1111111111111112</v>
      </c>
      <c r="S2" s="1">
        <f>2*Q2-1</f>
        <v>19</v>
      </c>
      <c r="T2" s="1">
        <f>1/EXP(LN(SQRT(2/(S2-1))) + GAMMALN(S2/2) - GAMMALN((S2-1)/2))</f>
        <v>1.0139785697898209</v>
      </c>
      <c r="U2" s="14">
        <f>T2*SQRT(R2*P2/(2*Q2))</f>
        <v>0.42166925190293753</v>
      </c>
      <c r="V2" s="3">
        <f>SQRT(P2/CHIINV((1-W$1)/2,2*Q2-2))</f>
        <v>0.3460836560869931</v>
      </c>
      <c r="W2" s="3">
        <f>SQRT(P2/CHIINV(0.5+W$1/2,2*Q2-2))</f>
        <v>0.53526127107157717</v>
      </c>
    </row>
    <row r="3" spans="1:23" ht="13" x14ac:dyDescent="0.3">
      <c r="A3" s="4">
        <v>1</v>
      </c>
      <c r="B3" s="31">
        <v>203</v>
      </c>
      <c r="C3" s="4">
        <v>11.321</v>
      </c>
      <c r="D3" s="4">
        <v>9.2530000000000001</v>
      </c>
      <c r="E3" s="5">
        <f>(C3)/(0.01047*$B3)</f>
        <v>5.3265017102582561</v>
      </c>
      <c r="F3" s="5">
        <f>(D3)/(0.01047*$B3)</f>
        <v>4.3535129692624013</v>
      </c>
      <c r="G3" s="5">
        <f>AVERAGEIF($A:$A,"="&amp;$A3,E:E)</f>
        <v>4.9676532998339145</v>
      </c>
      <c r="H3" s="5">
        <f>AVERAGEIF($A:$A,"="&amp;$A3,F:F)</f>
        <v>3.7424779219068318</v>
      </c>
      <c r="I3" s="7">
        <f>POWER(E3-G3,2)+POWER(F3-H3,2)</f>
        <v>0.50213601076089986</v>
      </c>
      <c r="L3" s="75" t="s">
        <v>32</v>
      </c>
      <c r="M3" s="76">
        <f>SQRT(GETPIVOTDATA("Sum Radius^2",$O$1)/CHIINV(0.9,2*GETPIVOTDATA("Count of Group",$O$1)-2*COUNT(O:O)))</f>
        <v>0.55439341133252873</v>
      </c>
      <c r="N3"/>
      <c r="O3" s="6">
        <v>2</v>
      </c>
      <c r="P3" s="22">
        <v>4.0304329728507193</v>
      </c>
      <c r="Q3" s="2">
        <v>10</v>
      </c>
      <c r="R3" s="1">
        <f t="shared" ref="R3:R4" si="0">Q3/(Q3-1)</f>
        <v>1.1111111111111112</v>
      </c>
      <c r="S3" s="1">
        <f t="shared" ref="S3:S4" si="1">2*Q3-1</f>
        <v>19</v>
      </c>
      <c r="T3" s="1">
        <f>1/EXP(LN(SQRT(2/(S3-1))) + GAMMALN(S3/2) - GAMMALN((S3-1)/2))</f>
        <v>1.0139785697898209</v>
      </c>
      <c r="U3" s="14">
        <f>T3*SQRT(R3*P3/(2*Q3))</f>
        <v>0.47980898388537274</v>
      </c>
      <c r="V3" s="3">
        <f>SQRT(P3/CHIINV((1-W$1)/2,2*Q3-2))</f>
        <v>0.39380165050464316</v>
      </c>
      <c r="W3" s="3">
        <f>SQRT(P3/CHIINV(0.5+W$1/2,2*Q3-2))</f>
        <v>0.60906306406511146</v>
      </c>
    </row>
    <row r="4" spans="1:23" ht="13" x14ac:dyDescent="0.3">
      <c r="A4" s="4">
        <v>1</v>
      </c>
      <c r="B4" s="31">
        <v>203</v>
      </c>
      <c r="C4" s="4">
        <v>12.326000000000001</v>
      </c>
      <c r="D4" s="4">
        <v>7.5090000000000003</v>
      </c>
      <c r="E4" s="5">
        <f t="shared" ref="E4:E32" si="2">(C4)/(0.01047*$B4)</f>
        <v>5.7993516545043073</v>
      </c>
      <c r="F4" s="5">
        <f t="shared" ref="F4:F32" si="3">(D4)/(0.01047*$B4)</f>
        <v>3.5329654043219896</v>
      </c>
      <c r="G4" s="5">
        <f>AVERAGEIF($A:$A,"="&amp;$A4,E:E)</f>
        <v>4.9676532998339145</v>
      </c>
      <c r="H4" s="5">
        <f>AVERAGEIF($A:$A,"="&amp;$A4,F:F)</f>
        <v>3.7424779219068318</v>
      </c>
      <c r="I4" s="7">
        <f t="shared" ref="I4:I32" si="4">POWER(E4-G4,2)+POWER(F4-H4,2)</f>
        <v>0.73561764818617736</v>
      </c>
      <c r="O4" s="6">
        <v>3</v>
      </c>
      <c r="P4" s="22">
        <v>5.5144041243110422</v>
      </c>
      <c r="Q4" s="2">
        <v>10</v>
      </c>
      <c r="R4" s="1">
        <f t="shared" si="0"/>
        <v>1.1111111111111112</v>
      </c>
      <c r="S4" s="1">
        <f t="shared" si="1"/>
        <v>19</v>
      </c>
      <c r="T4" s="1">
        <f>1/EXP(LN(SQRT(2/(S4-1))) + GAMMALN(S4/2) - GAMMALN((S4-1)/2))</f>
        <v>1.0139785697898209</v>
      </c>
      <c r="U4" s="14">
        <f>T4*SQRT(R4*P4/(2*Q4))</f>
        <v>0.56123121631316253</v>
      </c>
      <c r="V4" s="3">
        <f>SQRT(P4/CHIINV((1-W$1)/2,2*Q4-2))</f>
        <v>0.46062868083281333</v>
      </c>
      <c r="W4" s="3">
        <f>SQRT(P4/CHIINV(0.5+W$1/2,2*Q4-2))</f>
        <v>0.7124193496517498</v>
      </c>
    </row>
    <row r="5" spans="1:23" ht="13" x14ac:dyDescent="0.3">
      <c r="A5" s="4">
        <v>1</v>
      </c>
      <c r="B5" s="31">
        <v>203</v>
      </c>
      <c r="C5" s="4">
        <v>11.153</v>
      </c>
      <c r="D5" s="4">
        <v>8.0459999999999994</v>
      </c>
      <c r="E5" s="5">
        <f t="shared" si="2"/>
        <v>5.247458137488767</v>
      </c>
      <c r="F5" s="5">
        <f t="shared" si="3"/>
        <v>3.7856225387101778</v>
      </c>
      <c r="G5" s="5">
        <f>AVERAGEIF($A:$A,"="&amp;$A5,E:E)</f>
        <v>4.9676532998339145</v>
      </c>
      <c r="H5" s="5">
        <f>AVERAGEIF($A:$A,"="&amp;$A5,F:F)</f>
        <v>3.7424779219068318</v>
      </c>
      <c r="I5" s="7">
        <f t="shared" si="4"/>
        <v>8.0152205134165946E-2</v>
      </c>
      <c r="O5" s="10" t="s">
        <v>6</v>
      </c>
      <c r="P5" s="23">
        <v>12.657691580824906</v>
      </c>
      <c r="Q5" s="24">
        <v>30</v>
      </c>
      <c r="R5" s="11"/>
      <c r="S5" s="11"/>
      <c r="T5" s="11"/>
      <c r="U5" s="12">
        <f>SQRT(P5/CHIINV(0.5,2*Q5-2*COUNT(O:O)))</f>
        <v>0.4871602588997907</v>
      </c>
      <c r="V5" s="13">
        <f>SQRT(P5/CHIINV((1-W$1)/2,2*Q5-2*COUNT(O:O)))</f>
        <v>0.43248418021987134</v>
      </c>
      <c r="W5" s="25">
        <f>SQRT(P5/CHIINV(0.5+W$1/2,2*Q5-2*COUNT(O:O)))</f>
        <v>0.55439341133252873</v>
      </c>
    </row>
    <row r="6" spans="1:23" x14ac:dyDescent="0.25">
      <c r="A6" s="4">
        <v>1</v>
      </c>
      <c r="B6" s="31">
        <v>203</v>
      </c>
      <c r="C6" s="4">
        <v>11.108000000000001</v>
      </c>
      <c r="D6" s="4">
        <v>7.5659999999999998</v>
      </c>
      <c r="E6" s="5">
        <f t="shared" si="2"/>
        <v>5.226285751925511</v>
      </c>
      <c r="F6" s="5">
        <f t="shared" si="3"/>
        <v>3.5597837593687807</v>
      </c>
      <c r="G6" s="5">
        <f>AVERAGEIF($A:$A,"="&amp;$A6,E:E)</f>
        <v>4.9676532998339145</v>
      </c>
      <c r="H6" s="5">
        <f>AVERAGEIF($A:$A,"="&amp;$A6,F:F)</f>
        <v>3.7424779219068318</v>
      </c>
      <c r="I6" s="7">
        <f t="shared" si="4"/>
        <v>0.10026790230039184</v>
      </c>
      <c r="Q6" s="8"/>
      <c r="W6" s="32"/>
    </row>
    <row r="7" spans="1:23" x14ac:dyDescent="0.25">
      <c r="A7" s="4">
        <v>1</v>
      </c>
      <c r="B7" s="31">
        <v>203</v>
      </c>
      <c r="C7" s="4">
        <v>10.593999999999999</v>
      </c>
      <c r="D7" s="4">
        <v>8.8279999999999994</v>
      </c>
      <c r="E7" s="5">
        <f t="shared" si="2"/>
        <v>4.9844500590474308</v>
      </c>
      <c r="F7" s="5">
        <f t="shared" si="3"/>
        <v>4.153551550053872</v>
      </c>
      <c r="G7" s="5">
        <f>AVERAGEIF($A:$A,"="&amp;$A7,E:E)</f>
        <v>4.9676532998339145</v>
      </c>
      <c r="H7" s="5">
        <f>AVERAGEIF($A:$A,"="&amp;$A7,F:F)</f>
        <v>3.7424779219068318</v>
      </c>
      <c r="I7" s="7">
        <f t="shared" si="4"/>
        <v>0.16926365887804792</v>
      </c>
      <c r="Q7" s="8"/>
      <c r="R7" s="34"/>
      <c r="S7" s="34"/>
      <c r="T7" s="34"/>
      <c r="U7" s="34"/>
      <c r="V7" s="34"/>
      <c r="W7" s="35"/>
    </row>
    <row r="8" spans="1:23" x14ac:dyDescent="0.25">
      <c r="A8" s="4">
        <v>1</v>
      </c>
      <c r="B8" s="31">
        <v>203</v>
      </c>
      <c r="C8" s="4">
        <v>10.315</v>
      </c>
      <c r="D8" s="4">
        <v>8.66</v>
      </c>
      <c r="E8" s="5">
        <f t="shared" si="2"/>
        <v>4.8531812685552431</v>
      </c>
      <c r="F8" s="5">
        <f t="shared" si="3"/>
        <v>4.0745079772843829</v>
      </c>
      <c r="G8" s="5">
        <f>AVERAGEIF($A:$A,"="&amp;$A8,E:E)</f>
        <v>4.9676532998339145</v>
      </c>
      <c r="H8" s="5">
        <f>AVERAGEIF($A:$A,"="&amp;$A8,F:F)</f>
        <v>3.7424779219068318</v>
      </c>
      <c r="I8" s="7">
        <f t="shared" si="4"/>
        <v>0.12334780361908472</v>
      </c>
    </row>
    <row r="9" spans="1:23" x14ac:dyDescent="0.25">
      <c r="A9" s="4">
        <v>1</v>
      </c>
      <c r="B9" s="31">
        <v>203</v>
      </c>
      <c r="C9" s="4">
        <v>10.27</v>
      </c>
      <c r="D9" s="4">
        <v>7.5540000000000003</v>
      </c>
      <c r="E9" s="5">
        <f t="shared" si="2"/>
        <v>4.8320088829919872</v>
      </c>
      <c r="F9" s="5">
        <f t="shared" si="3"/>
        <v>3.554137789885246</v>
      </c>
      <c r="G9" s="5">
        <f>AVERAGEIF($A:$A,"="&amp;$A9,E:E)</f>
        <v>4.9676532998339145</v>
      </c>
      <c r="H9" s="5">
        <f>AVERAGEIF($A:$A,"="&amp;$A9,F:F)</f>
        <v>3.7424779219068318</v>
      </c>
      <c r="I9" s="7">
        <f t="shared" si="4"/>
        <v>5.3871413150294915E-2</v>
      </c>
    </row>
    <row r="10" spans="1:23" x14ac:dyDescent="0.25">
      <c r="A10" s="4">
        <v>1</v>
      </c>
      <c r="B10" s="31">
        <v>203</v>
      </c>
      <c r="C10" s="4">
        <v>10.259</v>
      </c>
      <c r="D10" s="4">
        <v>7.3529999999999998</v>
      </c>
      <c r="E10" s="5">
        <f t="shared" si="2"/>
        <v>4.8268334109654134</v>
      </c>
      <c r="F10" s="5">
        <f t="shared" si="3"/>
        <v>3.4595678010360351</v>
      </c>
      <c r="G10" s="5">
        <f>AVERAGEIF($A:$A,"="&amp;$A10,E:E)</f>
        <v>4.9676532998339145</v>
      </c>
      <c r="H10" s="5">
        <f>AVERAGEIF($A:$A,"="&amp;$A10,F:F)</f>
        <v>3.7424779219068318</v>
      </c>
      <c r="I10" s="7">
        <f t="shared" si="4"/>
        <v>9.9868377592065793E-2</v>
      </c>
    </row>
    <row r="11" spans="1:23" x14ac:dyDescent="0.25">
      <c r="A11" s="4">
        <v>1</v>
      </c>
      <c r="B11" s="31">
        <v>203</v>
      </c>
      <c r="C11" s="4">
        <v>9.7219999999999995</v>
      </c>
      <c r="D11" s="4">
        <v>7.141</v>
      </c>
      <c r="E11" s="5">
        <f t="shared" si="2"/>
        <v>4.5741762765772247</v>
      </c>
      <c r="F11" s="5">
        <f t="shared" si="3"/>
        <v>3.3598223401602514</v>
      </c>
      <c r="G11" s="5">
        <f>AVERAGEIF($A:$A,"="&amp;$A11,E:E)</f>
        <v>4.9676532998339145</v>
      </c>
      <c r="H11" s="5">
        <f>AVERAGEIF($A:$A,"="&amp;$A11,F:F)</f>
        <v>3.7424779219068318</v>
      </c>
      <c r="I11" s="7">
        <f t="shared" si="4"/>
        <v>0.30124946207275949</v>
      </c>
    </row>
    <row r="12" spans="1:23" x14ac:dyDescent="0.25">
      <c r="A12" s="36">
        <v>1</v>
      </c>
      <c r="B12" s="37">
        <v>203</v>
      </c>
      <c r="C12" s="36">
        <v>8.5150000000000006</v>
      </c>
      <c r="D12" s="36">
        <v>7.633</v>
      </c>
      <c r="E12" s="38">
        <f t="shared" si="2"/>
        <v>4.0062858460250022</v>
      </c>
      <c r="F12" s="38">
        <f t="shared" si="3"/>
        <v>3.5913070889851841</v>
      </c>
      <c r="G12" s="38">
        <f>AVERAGEIF($A:$A,"="&amp;$A12,E:E)</f>
        <v>4.9676532998339145</v>
      </c>
      <c r="H12" s="38">
        <f>AVERAGEIF($A:$A,"="&amp;$A12,F:F)</f>
        <v>3.7424779219068318</v>
      </c>
      <c r="I12" s="39">
        <f t="shared" si="4"/>
        <v>0.9470800019692559</v>
      </c>
    </row>
    <row r="13" spans="1:23" x14ac:dyDescent="0.25">
      <c r="A13" s="4">
        <v>2</v>
      </c>
      <c r="B13" s="31">
        <v>203</v>
      </c>
      <c r="C13" s="4">
        <v>20.562999999999999</v>
      </c>
      <c r="D13" s="4">
        <v>8.8059999999999992</v>
      </c>
      <c r="E13" s="5">
        <f t="shared" si="2"/>
        <v>9.6748392074940828</v>
      </c>
      <c r="F13" s="5">
        <f t="shared" si="3"/>
        <v>4.1432006060007245</v>
      </c>
      <c r="G13" s="5">
        <f>AVERAGEIF($A:$A,"="&amp;$A13,E:E)</f>
        <v>8.9291948377019033</v>
      </c>
      <c r="H13" s="5">
        <f>AVERAGEIF($A:$A,"="&amp;$A13,F:F)</f>
        <v>3.5141455060435396</v>
      </c>
      <c r="I13" s="7">
        <f t="shared" si="4"/>
        <v>0.95169584498492044</v>
      </c>
    </row>
    <row r="14" spans="1:23" x14ac:dyDescent="0.25">
      <c r="A14" s="4">
        <v>2</v>
      </c>
      <c r="B14" s="31">
        <v>203</v>
      </c>
      <c r="C14" s="4">
        <v>19.925999999999998</v>
      </c>
      <c r="D14" s="4">
        <v>8.5489999999999995</v>
      </c>
      <c r="E14" s="5">
        <f t="shared" si="2"/>
        <v>9.3751323274097693</v>
      </c>
      <c r="F14" s="5">
        <f t="shared" si="3"/>
        <v>4.0222827595616844</v>
      </c>
      <c r="G14" s="5">
        <f>AVERAGEIF($A:$A,"="&amp;$A14,E:E)</f>
        <v>8.9291948377019033</v>
      </c>
      <c r="H14" s="5">
        <f>AVERAGEIF($A:$A,"="&amp;$A14,F:F)</f>
        <v>3.5141455060435396</v>
      </c>
      <c r="I14" s="7">
        <f t="shared" si="4"/>
        <v>0.45706371313991645</v>
      </c>
    </row>
    <row r="15" spans="1:23" x14ac:dyDescent="0.25">
      <c r="A15" s="4">
        <v>2</v>
      </c>
      <c r="B15" s="31">
        <v>203</v>
      </c>
      <c r="C15" s="4">
        <v>18.460999999999999</v>
      </c>
      <c r="D15" s="4">
        <v>8.6940000000000008</v>
      </c>
      <c r="E15" s="5">
        <f t="shared" si="2"/>
        <v>8.6858535529615448</v>
      </c>
      <c r="F15" s="5">
        <f t="shared" si="3"/>
        <v>4.0905048908210651</v>
      </c>
      <c r="G15" s="5">
        <f>AVERAGEIF($A:$A,"="&amp;$A15,E:E)</f>
        <v>8.9291948377019033</v>
      </c>
      <c r="H15" s="5">
        <f>AVERAGEIF($A:$A,"="&amp;$A15,F:F)</f>
        <v>3.5141455060435396</v>
      </c>
      <c r="I15" s="7">
        <f t="shared" si="4"/>
        <v>0.39140512128021587</v>
      </c>
    </row>
    <row r="16" spans="1:23" x14ac:dyDescent="0.25">
      <c r="A16" s="4">
        <v>2</v>
      </c>
      <c r="B16" s="31">
        <v>203</v>
      </c>
      <c r="C16" s="4">
        <v>19.891999999999999</v>
      </c>
      <c r="D16" s="4">
        <v>6.7830000000000004</v>
      </c>
      <c r="E16" s="5">
        <f t="shared" si="2"/>
        <v>9.3591354138730871</v>
      </c>
      <c r="F16" s="5">
        <f t="shared" si="3"/>
        <v>3.191384250568126</v>
      </c>
      <c r="G16" s="5">
        <f>AVERAGEIF($A:$A,"="&amp;$A16,E:E)</f>
        <v>8.9291948377019033</v>
      </c>
      <c r="H16" s="5">
        <f>AVERAGEIF($A:$A,"="&amp;$A16,F:F)</f>
        <v>3.5141455060435396</v>
      </c>
      <c r="I16" s="7">
        <f t="shared" si="4"/>
        <v>0.28902372707447477</v>
      </c>
    </row>
    <row r="17" spans="1:9" x14ac:dyDescent="0.25">
      <c r="A17" s="4">
        <v>2</v>
      </c>
      <c r="B17" s="31">
        <v>203</v>
      </c>
      <c r="C17" s="4">
        <v>18.047999999999998</v>
      </c>
      <c r="D17" s="4">
        <v>7.577</v>
      </c>
      <c r="E17" s="5">
        <f t="shared" si="2"/>
        <v>8.4915381032365502</v>
      </c>
      <c r="F17" s="5">
        <f t="shared" si="3"/>
        <v>3.5649592313953544</v>
      </c>
      <c r="G17" s="5">
        <f>AVERAGEIF($A:$A,"="&amp;$A17,E:E)</f>
        <v>8.9291948377019033</v>
      </c>
      <c r="H17" s="5">
        <f>AVERAGEIF($A:$A,"="&amp;$A17,F:F)</f>
        <v>3.5141455060435396</v>
      </c>
      <c r="I17" s="7">
        <f t="shared" si="4"/>
        <v>0.1941254519070062</v>
      </c>
    </row>
    <row r="18" spans="1:9" x14ac:dyDescent="0.25">
      <c r="A18" s="4">
        <v>2</v>
      </c>
      <c r="B18" s="31">
        <v>203</v>
      </c>
      <c r="C18" s="4">
        <v>18.702999999999999</v>
      </c>
      <c r="D18" s="4">
        <v>7.5659999999999998</v>
      </c>
      <c r="E18" s="5">
        <f t="shared" si="2"/>
        <v>8.7997139375461675</v>
      </c>
      <c r="F18" s="5">
        <f t="shared" si="3"/>
        <v>3.5597837593687807</v>
      </c>
      <c r="G18" s="5">
        <f>AVERAGEIF($A:$A,"="&amp;$A18,E:E)</f>
        <v>8.9291948377019033</v>
      </c>
      <c r="H18" s="5">
        <f>AVERAGEIF($A:$A,"="&amp;$A18,F:F)</f>
        <v>3.5141455060435396</v>
      </c>
      <c r="I18" s="7">
        <f t="shared" si="4"/>
        <v>1.8848153671718493E-2</v>
      </c>
    </row>
    <row r="19" spans="1:9" x14ac:dyDescent="0.25">
      <c r="A19" s="4">
        <v>2</v>
      </c>
      <c r="B19" s="31">
        <v>203</v>
      </c>
      <c r="C19" s="4">
        <v>18.585000000000001</v>
      </c>
      <c r="D19" s="4">
        <v>7.5540000000000003</v>
      </c>
      <c r="E19" s="5">
        <f t="shared" si="2"/>
        <v>8.7441952376247407</v>
      </c>
      <c r="F19" s="5">
        <f t="shared" si="3"/>
        <v>3.554137789885246</v>
      </c>
      <c r="G19" s="5">
        <f>AVERAGEIF($A:$A,"="&amp;$A19,E:E)</f>
        <v>8.9291948377019033</v>
      </c>
      <c r="H19" s="5">
        <f>AVERAGEIF($A:$A,"="&amp;$A19,F:F)</f>
        <v>3.5141455060435396</v>
      </c>
      <c r="I19" s="7">
        <f t="shared" si="4"/>
        <v>3.5824234795585684E-2</v>
      </c>
    </row>
    <row r="20" spans="1:9" x14ac:dyDescent="0.25">
      <c r="A20" s="4">
        <v>2</v>
      </c>
      <c r="B20" s="31">
        <v>203</v>
      </c>
      <c r="C20" s="4">
        <v>19.273</v>
      </c>
      <c r="D20" s="4">
        <v>5.5019999999999998</v>
      </c>
      <c r="E20" s="5">
        <f t="shared" si="2"/>
        <v>9.0678974880140775</v>
      </c>
      <c r="F20" s="5">
        <f t="shared" si="3"/>
        <v>2.5886770082007704</v>
      </c>
      <c r="G20" s="5">
        <f>AVERAGEIF($A:$A,"="&amp;$A20,E:E)</f>
        <v>8.9291948377019033</v>
      </c>
      <c r="H20" s="5">
        <f>AVERAGEIF($A:$A,"="&amp;$A20,F:F)</f>
        <v>3.5141455060435396</v>
      </c>
      <c r="I20" s="7">
        <f t="shared" si="4"/>
        <v>0.87573036570297302</v>
      </c>
    </row>
    <row r="21" spans="1:9" x14ac:dyDescent="0.25">
      <c r="A21" s="4">
        <v>2</v>
      </c>
      <c r="B21" s="31">
        <v>203</v>
      </c>
      <c r="C21" s="4">
        <v>17.696999999999999</v>
      </c>
      <c r="D21" s="4">
        <v>6.0839999999999996</v>
      </c>
      <c r="E21" s="5">
        <f t="shared" si="2"/>
        <v>8.3263934958431545</v>
      </c>
      <c r="F21" s="5">
        <f t="shared" si="3"/>
        <v>2.8625065281522151</v>
      </c>
      <c r="G21" s="5">
        <f>AVERAGEIF($A:$A,"="&amp;$A21,E:E)</f>
        <v>8.9291948377019033</v>
      </c>
      <c r="H21" s="5">
        <f>AVERAGEIF($A:$A,"="&amp;$A21,F:F)</f>
        <v>3.5141455060435396</v>
      </c>
      <c r="I21" s="7">
        <f t="shared" si="4"/>
        <v>0.78800281525395821</v>
      </c>
    </row>
    <row r="22" spans="1:9" x14ac:dyDescent="0.25">
      <c r="A22" s="36">
        <v>2</v>
      </c>
      <c r="B22" s="37">
        <v>203</v>
      </c>
      <c r="C22" s="36">
        <v>18.634</v>
      </c>
      <c r="D22" s="36">
        <v>7.5750000000000002</v>
      </c>
      <c r="E22" s="38">
        <f t="shared" si="2"/>
        <v>8.7672496130158422</v>
      </c>
      <c r="F22" s="38">
        <f t="shared" si="3"/>
        <v>3.5640182364814317</v>
      </c>
      <c r="G22" s="38">
        <f>AVERAGEIF($A:$A,"="&amp;$A22,E:E)</f>
        <v>8.9291948377019033</v>
      </c>
      <c r="H22" s="38">
        <f>AVERAGEIF($A:$A,"="&amp;$A22,F:F)</f>
        <v>3.5141455060435396</v>
      </c>
      <c r="I22" s="39">
        <f t="shared" si="4"/>
        <v>2.8713545039949457E-2</v>
      </c>
    </row>
    <row r="23" spans="1:9" x14ac:dyDescent="0.25">
      <c r="A23" s="4">
        <v>3</v>
      </c>
      <c r="B23" s="31">
        <v>203</v>
      </c>
      <c r="C23" s="4">
        <v>28.161999999999999</v>
      </c>
      <c r="D23" s="4">
        <v>8.3699999999999992</v>
      </c>
      <c r="E23" s="5">
        <f t="shared" si="2"/>
        <v>13.250149382942585</v>
      </c>
      <c r="F23" s="5">
        <f t="shared" si="3"/>
        <v>3.9380637147656214</v>
      </c>
      <c r="G23" s="5">
        <f>AVERAGEIF($A:$A,"="&amp;$A23,E:E)</f>
        <v>13.090227297321457</v>
      </c>
      <c r="H23" s="5">
        <f>AVERAGEIF($A:$A,"="&amp;$A23,F:F)</f>
        <v>3.0394135719696438</v>
      </c>
      <c r="I23" s="7">
        <f t="shared" si="4"/>
        <v>0.83314715261664241</v>
      </c>
    </row>
    <row r="24" spans="1:9" x14ac:dyDescent="0.25">
      <c r="A24" s="4">
        <v>3</v>
      </c>
      <c r="B24" s="31">
        <v>203</v>
      </c>
      <c r="C24" s="4">
        <v>27.216000000000001</v>
      </c>
      <c r="D24" s="4">
        <v>7.9370000000000003</v>
      </c>
      <c r="E24" s="5">
        <f t="shared" si="2"/>
        <v>12.805058788657247</v>
      </c>
      <c r="F24" s="5">
        <f t="shared" si="3"/>
        <v>3.7343383159014025</v>
      </c>
      <c r="G24" s="5">
        <f>AVERAGEIF($A:$A,"="&amp;$A24,E:E)</f>
        <v>13.090227297321457</v>
      </c>
      <c r="H24" s="5">
        <f>AVERAGEIF($A:$A,"="&amp;$A24,F:F)</f>
        <v>3.0394135719696438</v>
      </c>
      <c r="I24" s="7">
        <f t="shared" si="4"/>
        <v>0.56424147806239</v>
      </c>
    </row>
    <row r="25" spans="1:9" x14ac:dyDescent="0.25">
      <c r="A25" s="4">
        <v>3</v>
      </c>
      <c r="B25" s="31">
        <v>203</v>
      </c>
      <c r="C25" s="4">
        <v>28.481999999999999</v>
      </c>
      <c r="D25" s="4">
        <v>7.4459999999999997</v>
      </c>
      <c r="E25" s="5">
        <f t="shared" si="2"/>
        <v>13.400708569170183</v>
      </c>
      <c r="F25" s="5">
        <f t="shared" si="3"/>
        <v>3.5033240645334311</v>
      </c>
      <c r="G25" s="5">
        <f>AVERAGEIF($A:$A,"="&amp;$A25,E:E)</f>
        <v>13.090227297321457</v>
      </c>
      <c r="H25" s="5">
        <f>AVERAGEIF($A:$A,"="&amp;$A25,F:F)</f>
        <v>3.0394135719696438</v>
      </c>
      <c r="I25" s="7">
        <f t="shared" si="4"/>
        <v>0.31161156527957828</v>
      </c>
    </row>
    <row r="26" spans="1:9" x14ac:dyDescent="0.25">
      <c r="A26" s="4">
        <v>3</v>
      </c>
      <c r="B26" s="31">
        <v>203</v>
      </c>
      <c r="C26" s="4">
        <v>28.265000000000001</v>
      </c>
      <c r="D26" s="4">
        <v>7.4059999999999997</v>
      </c>
      <c r="E26" s="5">
        <f t="shared" si="2"/>
        <v>13.298610621009594</v>
      </c>
      <c r="F26" s="5">
        <f t="shared" si="3"/>
        <v>3.4845041662549812</v>
      </c>
      <c r="G26" s="5">
        <f>AVERAGEIF($A:$A,"="&amp;$A26,E:E)</f>
        <v>13.090227297321457</v>
      </c>
      <c r="H26" s="5">
        <f>AVERAGEIF($A:$A,"="&amp;$A26,F:F)</f>
        <v>3.0394135719696438</v>
      </c>
      <c r="I26" s="7">
        <f t="shared" si="4"/>
        <v>0.24152924671258974</v>
      </c>
    </row>
    <row r="27" spans="1:9" x14ac:dyDescent="0.25">
      <c r="A27" s="4">
        <v>3</v>
      </c>
      <c r="B27" s="31">
        <v>203</v>
      </c>
      <c r="C27" s="4">
        <v>27.832000000000001</v>
      </c>
      <c r="D27" s="4">
        <v>7.23</v>
      </c>
      <c r="E27" s="5">
        <f t="shared" si="2"/>
        <v>13.094885222145374</v>
      </c>
      <c r="F27" s="5">
        <f t="shared" si="3"/>
        <v>3.4016966138298024</v>
      </c>
      <c r="G27" s="5">
        <f>AVERAGEIF($A:$A,"="&amp;$A27,E:E)</f>
        <v>13.090227297321457</v>
      </c>
      <c r="H27" s="5">
        <f>AVERAGEIF($A:$A,"="&amp;$A27,F:F)</f>
        <v>3.0394135719696438</v>
      </c>
      <c r="I27" s="7">
        <f t="shared" si="4"/>
        <v>0.13127069868311469</v>
      </c>
    </row>
    <row r="28" spans="1:9" x14ac:dyDescent="0.25">
      <c r="A28" s="4">
        <v>3</v>
      </c>
      <c r="B28" s="31">
        <v>203</v>
      </c>
      <c r="C28" s="4">
        <v>26.43</v>
      </c>
      <c r="D28" s="4">
        <v>7.11</v>
      </c>
      <c r="E28" s="5">
        <f t="shared" si="2"/>
        <v>12.435247787485709</v>
      </c>
      <c r="F28" s="5">
        <f t="shared" si="3"/>
        <v>3.3452369189944529</v>
      </c>
      <c r="G28" s="5">
        <f>AVERAGEIF($A:$A,"="&amp;$A28,E:E)</f>
        <v>13.090227297321457</v>
      </c>
      <c r="H28" s="5">
        <f>AVERAGEIF($A:$A,"="&amp;$A28,F:F)</f>
        <v>3.0394135719696438</v>
      </c>
      <c r="I28" s="7">
        <f t="shared" si="4"/>
        <v>0.52252607789013328</v>
      </c>
    </row>
    <row r="29" spans="1:9" x14ac:dyDescent="0.25">
      <c r="A29" s="4">
        <v>3</v>
      </c>
      <c r="B29" s="31">
        <v>203</v>
      </c>
      <c r="C29" s="4">
        <v>28.760999999999999</v>
      </c>
      <c r="D29" s="4">
        <v>4.7270000000000003</v>
      </c>
      <c r="E29" s="5">
        <f t="shared" si="2"/>
        <v>13.53197735966237</v>
      </c>
      <c r="F29" s="5">
        <f t="shared" si="3"/>
        <v>2.2240414790558058</v>
      </c>
      <c r="G29" s="5">
        <f>AVERAGEIF($A:$A,"="&amp;$A29,E:E)</f>
        <v>13.090227297321457</v>
      </c>
      <c r="H29" s="5">
        <f>AVERAGEIF($A:$A,"="&amp;$A29,F:F)</f>
        <v>3.0394135719696438</v>
      </c>
      <c r="I29" s="7">
        <f t="shared" si="4"/>
        <v>0.85997476748089352</v>
      </c>
    </row>
    <row r="30" spans="1:9" x14ac:dyDescent="0.25">
      <c r="A30" s="4">
        <v>3</v>
      </c>
      <c r="B30" s="31">
        <v>203</v>
      </c>
      <c r="C30" s="4">
        <v>27.312999999999999</v>
      </c>
      <c r="D30" s="4">
        <v>5.4109999999999996</v>
      </c>
      <c r="E30" s="5">
        <f t="shared" si="2"/>
        <v>12.850697041982487</v>
      </c>
      <c r="F30" s="5">
        <f t="shared" si="3"/>
        <v>2.5458617396172971</v>
      </c>
      <c r="G30" s="5">
        <f>AVERAGEIF($A:$A,"="&amp;$A30,E:E)</f>
        <v>13.090227297321457</v>
      </c>
      <c r="H30" s="5">
        <f>AVERAGEIF($A:$A,"="&amp;$A30,F:F)</f>
        <v>3.0394135719696438</v>
      </c>
      <c r="I30" s="7">
        <f t="shared" si="4"/>
        <v>0.30096815444111097</v>
      </c>
    </row>
    <row r="31" spans="1:9" x14ac:dyDescent="0.25">
      <c r="A31" s="4">
        <v>3</v>
      </c>
      <c r="B31" s="31">
        <v>203</v>
      </c>
      <c r="C31" s="4">
        <v>28.053999999999998</v>
      </c>
      <c r="D31" s="4">
        <v>4.43</v>
      </c>
      <c r="E31" s="5">
        <f t="shared" si="2"/>
        <v>13.199335657590771</v>
      </c>
      <c r="F31" s="5">
        <f t="shared" si="3"/>
        <v>2.0843037343383157</v>
      </c>
      <c r="G31" s="5">
        <f>AVERAGEIF($A:$A,"="&amp;$A31,E:E)</f>
        <v>13.090227297321457</v>
      </c>
      <c r="H31" s="5">
        <f>AVERAGEIF($A:$A,"="&amp;$A31,F:F)</f>
        <v>3.0394135719696438</v>
      </c>
      <c r="I31" s="7">
        <f t="shared" si="4"/>
        <v>0.92413943622080019</v>
      </c>
    </row>
    <row r="32" spans="1:9" x14ac:dyDescent="0.25">
      <c r="A32" s="4">
        <v>3</v>
      </c>
      <c r="B32" s="31">
        <v>203</v>
      </c>
      <c r="C32" s="4">
        <v>27.706</v>
      </c>
      <c r="D32" s="4">
        <v>4.5330000000000004</v>
      </c>
      <c r="E32" s="5">
        <f t="shared" si="2"/>
        <v>13.035602542568258</v>
      </c>
      <c r="F32" s="5">
        <f t="shared" si="3"/>
        <v>2.1327649724053241</v>
      </c>
      <c r="G32" s="5">
        <f>AVERAGEIF($A:$A,"="&amp;$A32,E:E)</f>
        <v>13.090227297321457</v>
      </c>
      <c r="H32" s="5">
        <f>AVERAGEIF($A:$A,"="&amp;$A32,F:F)</f>
        <v>3.0394135719696438</v>
      </c>
      <c r="I32" s="7">
        <f t="shared" si="4"/>
        <v>0.82499554692378918</v>
      </c>
    </row>
  </sheetData>
  <mergeCells count="2">
    <mergeCell ref="C1:D1"/>
    <mergeCell ref="E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2.5" x14ac:dyDescent="0.25"/>
  <sheetData>
    <row r="1" spans="1:5" s="52" customFormat="1" x14ac:dyDescent="0.25">
      <c r="B1" s="68" t="s">
        <v>23</v>
      </c>
      <c r="C1" s="69"/>
      <c r="D1" s="68" t="s">
        <v>24</v>
      </c>
      <c r="E1" s="69"/>
    </row>
    <row r="2" spans="1:5" ht="13" x14ac:dyDescent="0.3">
      <c r="A2" s="26" t="s">
        <v>5</v>
      </c>
      <c r="B2" s="42" t="s">
        <v>2</v>
      </c>
      <c r="C2" s="46" t="s">
        <v>1</v>
      </c>
      <c r="D2" s="42" t="s">
        <v>15</v>
      </c>
      <c r="E2" s="46" t="s">
        <v>16</v>
      </c>
    </row>
    <row r="3" spans="1:5" x14ac:dyDescent="0.25">
      <c r="A3" s="54">
        <v>1</v>
      </c>
      <c r="B3" s="45">
        <f>'BAC for Overlaid Samples'!F3-'BAC for Overlaid Samples'!H3</f>
        <v>0.51290496108201877</v>
      </c>
      <c r="C3" s="57">
        <f>'BAC for Overlaid Samples'!G3-'BAC for Overlaid Samples'!I3</f>
        <v>0.67088232388103952</v>
      </c>
      <c r="D3" s="49">
        <f>'BAC for Independent Groups'!E3-'BAC for Independent Groups'!G3</f>
        <v>0.35884841042434168</v>
      </c>
      <c r="E3" s="43">
        <f>'BAC for Independent Groups'!F3-'BAC for Independent Groups'!H3</f>
        <v>0.61103504735556946</v>
      </c>
    </row>
    <row r="4" spans="1:5" x14ac:dyDescent="0.25">
      <c r="A4" s="54">
        <v>1</v>
      </c>
      <c r="B4" s="45">
        <f>'BAC for Overlaid Samples'!F4-'BAC for Overlaid Samples'!H4</f>
        <v>0.98575490532807042</v>
      </c>
      <c r="C4" s="33">
        <f>'BAC for Overlaid Samples'!G4-'BAC for Overlaid Samples'!I4</f>
        <v>-0.14966524105937187</v>
      </c>
      <c r="D4" s="45">
        <f>'BAC for Independent Groups'!E4-'BAC for Independent Groups'!G4</f>
        <v>0.83169835467039288</v>
      </c>
      <c r="E4" s="47">
        <f>'BAC for Independent Groups'!F4-'BAC for Independent Groups'!H4</f>
        <v>-0.20951251758484224</v>
      </c>
    </row>
    <row r="5" spans="1:5" x14ac:dyDescent="0.25">
      <c r="A5" s="54">
        <v>1</v>
      </c>
      <c r="B5" s="45">
        <f>'BAC for Overlaid Samples'!F5-'BAC for Overlaid Samples'!H5</f>
        <v>0.43386138831252996</v>
      </c>
      <c r="C5" s="33">
        <f>'BAC for Overlaid Samples'!G5-'BAC for Overlaid Samples'!I5</f>
        <v>0.10299189332881631</v>
      </c>
      <c r="D5" s="45">
        <f>'BAC for Independent Groups'!E5-'BAC for Independent Groups'!G5</f>
        <v>0.27980483765485253</v>
      </c>
      <c r="E5" s="47">
        <f>'BAC for Independent Groups'!F5-'BAC for Independent Groups'!H5</f>
        <v>4.3144616803346025E-2</v>
      </c>
    </row>
    <row r="6" spans="1:5" x14ac:dyDescent="0.25">
      <c r="A6" s="54">
        <v>1</v>
      </c>
      <c r="B6" s="45">
        <f>'BAC for Overlaid Samples'!F6-'BAC for Overlaid Samples'!H6</f>
        <v>0.412689002749274</v>
      </c>
      <c r="C6" s="33">
        <f>'BAC for Overlaid Samples'!G6-'BAC for Overlaid Samples'!I6</f>
        <v>-0.12284688601258115</v>
      </c>
      <c r="D6" s="45">
        <f>'BAC for Independent Groups'!E6-'BAC for Independent Groups'!G6</f>
        <v>0.25863245209159658</v>
      </c>
      <c r="E6" s="47">
        <f>'BAC for Independent Groups'!F6-'BAC for Independent Groups'!H6</f>
        <v>-0.18269416253805115</v>
      </c>
    </row>
    <row r="7" spans="1:5" x14ac:dyDescent="0.25">
      <c r="A7" s="54">
        <v>1</v>
      </c>
      <c r="B7" s="45">
        <f>'BAC for Overlaid Samples'!F7-'BAC for Overlaid Samples'!H7</f>
        <v>0.17085330987119343</v>
      </c>
      <c r="C7" s="33">
        <f>'BAC for Overlaid Samples'!G7-'BAC for Overlaid Samples'!I7</f>
        <v>0.47092090467251002</v>
      </c>
      <c r="D7" s="45">
        <f>'BAC for Independent Groups'!E7-'BAC for Independent Groups'!G7</f>
        <v>1.679675921351631E-2</v>
      </c>
      <c r="E7" s="47">
        <f>'BAC for Independent Groups'!F7-'BAC for Independent Groups'!H7</f>
        <v>0.41107362814704018</v>
      </c>
    </row>
    <row r="8" spans="1:5" x14ac:dyDescent="0.25">
      <c r="A8" s="54">
        <v>1</v>
      </c>
      <c r="B8" s="45">
        <f>'BAC for Overlaid Samples'!F8-'BAC for Overlaid Samples'!H8</f>
        <v>3.9584519379006089E-2</v>
      </c>
      <c r="C8" s="33">
        <f>'BAC for Overlaid Samples'!G8-'BAC for Overlaid Samples'!I8</f>
        <v>0.39187733190302121</v>
      </c>
      <c r="D8" s="45">
        <f>'BAC for Independent Groups'!E8-'BAC for Independent Groups'!G8</f>
        <v>-0.11447203127867134</v>
      </c>
      <c r="E8" s="47">
        <f>'BAC for Independent Groups'!F8-'BAC for Independent Groups'!H8</f>
        <v>0.33203005537755104</v>
      </c>
    </row>
    <row r="9" spans="1:5" x14ac:dyDescent="0.25">
      <c r="A9" s="54">
        <v>1</v>
      </c>
      <c r="B9" s="45">
        <f>'BAC for Overlaid Samples'!F9-'BAC for Overlaid Samples'!H9</f>
        <v>1.8412133815750104E-2</v>
      </c>
      <c r="C9" s="33">
        <f>'BAC for Overlaid Samples'!G9-'BAC for Overlaid Samples'!I9</f>
        <v>-0.12849285549611589</v>
      </c>
      <c r="D9" s="45">
        <f>'BAC for Independent Groups'!E9-'BAC for Independent Groups'!G9</f>
        <v>-0.1356444168419273</v>
      </c>
      <c r="E9" s="47">
        <f>'BAC for Independent Groups'!F9-'BAC for Independent Groups'!H9</f>
        <v>-0.18834013202158584</v>
      </c>
    </row>
    <row r="10" spans="1:5" x14ac:dyDescent="0.25">
      <c r="A10" s="54">
        <v>1</v>
      </c>
      <c r="B10" s="45">
        <f>'BAC for Overlaid Samples'!F10-'BAC for Overlaid Samples'!H10</f>
        <v>1.3236661789176762E-2</v>
      </c>
      <c r="C10" s="33">
        <f>'BAC for Overlaid Samples'!G10-'BAC for Overlaid Samples'!I10</f>
        <v>-0.22306284434532639</v>
      </c>
      <c r="D10" s="45">
        <f>'BAC for Independent Groups'!E10-'BAC for Independent Groups'!G10</f>
        <v>-0.14081988886850105</v>
      </c>
      <c r="E10" s="47">
        <f>'BAC for Independent Groups'!F10-'BAC for Independent Groups'!H10</f>
        <v>-0.2829101208707967</v>
      </c>
    </row>
    <row r="11" spans="1:5" x14ac:dyDescent="0.25">
      <c r="A11" s="54">
        <v>1</v>
      </c>
      <c r="B11" s="45">
        <f>'BAC for Overlaid Samples'!F11-'BAC for Overlaid Samples'!H11</f>
        <v>-0.23942047259901225</v>
      </c>
      <c r="C11" s="33">
        <f>'BAC for Overlaid Samples'!G11-'BAC for Overlaid Samples'!I11</f>
        <v>-0.32280830522111026</v>
      </c>
      <c r="D11" s="45">
        <f>'BAC for Independent Groups'!E11-'BAC for Independent Groups'!G11</f>
        <v>-0.39347702325668976</v>
      </c>
      <c r="E11" s="47">
        <f>'BAC for Independent Groups'!F11-'BAC for Independent Groups'!H11</f>
        <v>-0.38265558174658043</v>
      </c>
    </row>
    <row r="12" spans="1:5" x14ac:dyDescent="0.25">
      <c r="A12" s="40">
        <v>1</v>
      </c>
      <c r="B12" s="45">
        <f>'BAC for Overlaid Samples'!F12-'BAC for Overlaid Samples'!H12</f>
        <v>-0.80731090315123455</v>
      </c>
      <c r="C12" s="33">
        <f>'BAC for Overlaid Samples'!G12-'BAC for Overlaid Samples'!I12</f>
        <v>-9.1323556396177633E-2</v>
      </c>
      <c r="D12" s="45">
        <f>'BAC for Independent Groups'!E12-'BAC for Independent Groups'!G12</f>
        <v>-0.96136745380891231</v>
      </c>
      <c r="E12" s="47">
        <f>'BAC for Independent Groups'!F12-'BAC for Independent Groups'!H12</f>
        <v>-0.15117083292164768</v>
      </c>
    </row>
    <row r="13" spans="1:5" x14ac:dyDescent="0.25">
      <c r="A13" s="54">
        <v>2</v>
      </c>
      <c r="B13" s="45">
        <f>'BAC for Overlaid Samples'!F13-'BAC for Overlaid Samples'!H13</f>
        <v>0.67569708119060878</v>
      </c>
      <c r="C13" s="33">
        <f>'BAC for Overlaid Samples'!G13-'BAC for Overlaid Samples'!I13</f>
        <v>0.66570685185446532</v>
      </c>
      <c r="D13" s="45">
        <f>'BAC for Independent Groups'!E13-'BAC for Independent Groups'!G13</f>
        <v>0.74564436979217952</v>
      </c>
      <c r="E13" s="47">
        <f>'BAC for Independent Groups'!F13-'BAC for Independent Groups'!H13</f>
        <v>0.62905509995718489</v>
      </c>
    </row>
    <row r="14" spans="1:5" x14ac:dyDescent="0.25">
      <c r="A14" s="54">
        <v>2</v>
      </c>
      <c r="B14" s="45">
        <f>'BAC for Overlaid Samples'!F14-'BAC for Overlaid Samples'!H14</f>
        <v>0.37599020110629544</v>
      </c>
      <c r="C14" s="33">
        <f>'BAC for Overlaid Samples'!G14-'BAC for Overlaid Samples'!I14</f>
        <v>0.54478900541542552</v>
      </c>
      <c r="D14" s="45">
        <f>'BAC for Independent Groups'!E14-'BAC for Independent Groups'!G14</f>
        <v>0.44593748970786606</v>
      </c>
      <c r="E14" s="47">
        <f>'BAC for Independent Groups'!F14-'BAC for Independent Groups'!H14</f>
        <v>0.50813725351814476</v>
      </c>
    </row>
    <row r="15" spans="1:5" x14ac:dyDescent="0.25">
      <c r="A15" s="54">
        <v>2</v>
      </c>
      <c r="B15" s="45">
        <f>'BAC for Overlaid Samples'!F15-'BAC for Overlaid Samples'!H15</f>
        <v>-0.31328857334192861</v>
      </c>
      <c r="C15" s="33">
        <f>'BAC for Overlaid Samples'!G15-'BAC for Overlaid Samples'!I15</f>
        <v>0.61301113667480667</v>
      </c>
      <c r="D15" s="45">
        <f>'BAC for Independent Groups'!E15-'BAC for Independent Groups'!G15</f>
        <v>-0.24334128474035843</v>
      </c>
      <c r="E15" s="47">
        <f>'BAC for Independent Groups'!F15-'BAC for Independent Groups'!H15</f>
        <v>0.57635938477752546</v>
      </c>
    </row>
    <row r="16" spans="1:5" x14ac:dyDescent="0.25">
      <c r="A16" s="54">
        <v>2</v>
      </c>
      <c r="B16" s="45">
        <f>'BAC for Overlaid Samples'!F16-'BAC for Overlaid Samples'!H16</f>
        <v>0.35999328756961368</v>
      </c>
      <c r="C16" s="33">
        <f>'BAC for Overlaid Samples'!G16-'BAC for Overlaid Samples'!I16</f>
        <v>-0.28610950357813297</v>
      </c>
      <c r="D16" s="45">
        <f>'BAC for Independent Groups'!E16-'BAC for Independent Groups'!G16</f>
        <v>0.42994057617118386</v>
      </c>
      <c r="E16" s="47">
        <f>'BAC for Independent Groups'!F16-'BAC for Independent Groups'!H16</f>
        <v>-0.32276125547541357</v>
      </c>
    </row>
    <row r="17" spans="1:5" x14ac:dyDescent="0.25">
      <c r="A17" s="54">
        <v>2</v>
      </c>
      <c r="B17" s="45">
        <f>'BAC for Overlaid Samples'!F17-'BAC for Overlaid Samples'!H17</f>
        <v>-0.50760402306692298</v>
      </c>
      <c r="C17" s="33">
        <f>'BAC for Overlaid Samples'!G17-'BAC for Overlaid Samples'!I17</f>
        <v>8.7465477249095452E-2</v>
      </c>
      <c r="D17" s="45">
        <f>'BAC for Independent Groups'!E17-'BAC for Independent Groups'!G17</f>
        <v>-0.43765673446535303</v>
      </c>
      <c r="E17" s="47">
        <f>'BAC for Independent Groups'!F17-'BAC for Independent Groups'!H17</f>
        <v>5.0813725351814831E-2</v>
      </c>
    </row>
    <row r="18" spans="1:5" x14ac:dyDescent="0.25">
      <c r="A18" s="54">
        <v>2</v>
      </c>
      <c r="B18" s="45">
        <f>'BAC for Overlaid Samples'!F18-'BAC for Overlaid Samples'!H18</f>
        <v>-0.19942818875730686</v>
      </c>
      <c r="C18" s="33">
        <f>'BAC for Overlaid Samples'!G18-'BAC for Overlaid Samples'!I18</f>
        <v>8.2290005222521695E-2</v>
      </c>
      <c r="D18" s="45">
        <f>'BAC for Independent Groups'!E18-'BAC for Independent Groups'!G18</f>
        <v>-0.12948090015573577</v>
      </c>
      <c r="E18" s="47">
        <f>'BAC for Independent Groups'!F18-'BAC for Independent Groups'!H18</f>
        <v>4.5638253325241074E-2</v>
      </c>
    </row>
    <row r="19" spans="1:5" x14ac:dyDescent="0.25">
      <c r="A19" s="54">
        <v>2</v>
      </c>
      <c r="B19" s="45">
        <f>'BAC for Overlaid Samples'!F19-'BAC for Overlaid Samples'!H19</f>
        <v>-0.25494688867873311</v>
      </c>
      <c r="C19" s="33">
        <f>'BAC for Overlaid Samples'!G19-'BAC for Overlaid Samples'!I19</f>
        <v>7.6644035738986954E-2</v>
      </c>
      <c r="D19" s="45">
        <f>'BAC for Independent Groups'!E19-'BAC for Independent Groups'!G19</f>
        <v>-0.18499960007716254</v>
      </c>
      <c r="E19" s="47">
        <f>'BAC for Independent Groups'!F19-'BAC for Independent Groups'!H19</f>
        <v>3.9992283841706389E-2</v>
      </c>
    </row>
    <row r="20" spans="1:5" x14ac:dyDescent="0.25">
      <c r="A20" s="54">
        <v>2</v>
      </c>
      <c r="B20" s="45">
        <f>'BAC for Overlaid Samples'!F20-'BAC for Overlaid Samples'!H20</f>
        <v>6.8755361710603008E-2</v>
      </c>
      <c r="C20" s="33">
        <f>'BAC for Overlaid Samples'!G20-'BAC for Overlaid Samples'!I20</f>
        <v>-0.88881674594548821</v>
      </c>
      <c r="D20" s="45">
        <f>'BAC for Independent Groups'!E20-'BAC for Independent Groups'!G20</f>
        <v>0.13870265031217421</v>
      </c>
      <c r="E20" s="47">
        <f>'BAC for Independent Groups'!F20-'BAC for Independent Groups'!H20</f>
        <v>-0.92546849784276919</v>
      </c>
    </row>
    <row r="21" spans="1:5" x14ac:dyDescent="0.25">
      <c r="A21" s="54">
        <v>2</v>
      </c>
      <c r="B21" s="45">
        <f>'BAC for Overlaid Samples'!F21-'BAC for Overlaid Samples'!H21</f>
        <v>-0.67274863046031952</v>
      </c>
      <c r="C21" s="33">
        <f>'BAC for Overlaid Samples'!G21-'BAC for Overlaid Samples'!I21</f>
        <v>-0.61498722599404365</v>
      </c>
      <c r="D21" s="45">
        <f>'BAC for Independent Groups'!E21-'BAC for Independent Groups'!G21</f>
        <v>-0.60280134185874878</v>
      </c>
      <c r="E21" s="47">
        <f>'BAC for Independent Groups'!F21-'BAC for Independent Groups'!H21</f>
        <v>-0.65163897789132452</v>
      </c>
    </row>
    <row r="22" spans="1:5" x14ac:dyDescent="0.25">
      <c r="A22" s="40">
        <v>2</v>
      </c>
      <c r="B22" s="45">
        <f>'BAC for Overlaid Samples'!F22-'BAC for Overlaid Samples'!H22</f>
        <v>-0.23189251328763233</v>
      </c>
      <c r="C22" s="33">
        <f>'BAC for Overlaid Samples'!G22-'BAC for Overlaid Samples'!I22</f>
        <v>8.652448233517307E-2</v>
      </c>
      <c r="D22" s="45">
        <f>'BAC for Independent Groups'!E22-'BAC for Independent Groups'!G22</f>
        <v>-0.1619452246860611</v>
      </c>
      <c r="E22" s="47">
        <f>'BAC for Independent Groups'!F22-'BAC for Independent Groups'!H22</f>
        <v>4.9872730437892088E-2</v>
      </c>
    </row>
    <row r="23" spans="1:5" x14ac:dyDescent="0.25">
      <c r="A23" s="54">
        <v>3</v>
      </c>
      <c r="B23" s="45">
        <f>'BAC for Overlaid Samples'!F23-'BAC for Overlaid Samples'!H23</f>
        <v>7.581282356502192E-2</v>
      </c>
      <c r="C23" s="33">
        <f>'BAC for Overlaid Samples'!G23-'BAC for Overlaid Samples'!I23</f>
        <v>0.8021511143732265</v>
      </c>
      <c r="D23" s="45">
        <f>'BAC for Independent Groups'!E23-'BAC for Independent Groups'!G23</f>
        <v>0.15992208562112786</v>
      </c>
      <c r="E23" s="47">
        <f>'BAC for Independent Groups'!F23-'BAC for Independent Groups'!H23</f>
        <v>0.89865014279597766</v>
      </c>
    </row>
    <row r="24" spans="1:5" x14ac:dyDescent="0.25">
      <c r="A24" s="54">
        <v>3</v>
      </c>
      <c r="B24" s="45">
        <f>'BAC for Overlaid Samples'!F24-'BAC for Overlaid Samples'!H24</f>
        <v>-0.36927777072031498</v>
      </c>
      <c r="C24" s="33">
        <f>'BAC for Overlaid Samples'!G24-'BAC for Overlaid Samples'!I24</f>
        <v>0.59842571550900781</v>
      </c>
      <c r="D24" s="45">
        <f>'BAC for Independent Groups'!E24-'BAC for Independent Groups'!G24</f>
        <v>-0.28516850866420995</v>
      </c>
      <c r="E24" s="47">
        <f>'BAC for Independent Groups'!F24-'BAC for Independent Groups'!H24</f>
        <v>0.69492474393175874</v>
      </c>
    </row>
    <row r="25" spans="1:5" x14ac:dyDescent="0.25">
      <c r="A25" s="54">
        <v>3</v>
      </c>
      <c r="B25" s="45">
        <f>'BAC for Overlaid Samples'!F25-'BAC for Overlaid Samples'!H25</f>
        <v>0.22637200979262054</v>
      </c>
      <c r="C25" s="33">
        <f>'BAC for Overlaid Samples'!G25-'BAC for Overlaid Samples'!I25</f>
        <v>0.3674114641410362</v>
      </c>
      <c r="D25" s="45">
        <f>'BAC for Independent Groups'!E25-'BAC for Independent Groups'!G25</f>
        <v>0.31048127184872598</v>
      </c>
      <c r="E25" s="47">
        <f>'BAC for Independent Groups'!F25-'BAC for Independent Groups'!H25</f>
        <v>0.46391049256378736</v>
      </c>
    </row>
    <row r="26" spans="1:5" x14ac:dyDescent="0.25">
      <c r="A26" s="54">
        <v>3</v>
      </c>
      <c r="B26" s="45">
        <f>'BAC for Overlaid Samples'!F26-'BAC for Overlaid Samples'!H26</f>
        <v>0.12427406163203089</v>
      </c>
      <c r="C26" s="33">
        <f>'BAC for Overlaid Samples'!G26-'BAC for Overlaid Samples'!I26</f>
        <v>0.34859156586258633</v>
      </c>
      <c r="D26" s="45">
        <f>'BAC for Independent Groups'!E26-'BAC for Independent Groups'!G26</f>
        <v>0.20838332368813717</v>
      </c>
      <c r="E26" s="47">
        <f>'BAC for Independent Groups'!F26-'BAC for Independent Groups'!H26</f>
        <v>0.44509059428533737</v>
      </c>
    </row>
    <row r="27" spans="1:5" x14ac:dyDescent="0.25">
      <c r="A27" s="54">
        <v>3</v>
      </c>
      <c r="B27" s="45">
        <f>'BAC for Overlaid Samples'!F27-'BAC for Overlaid Samples'!H27</f>
        <v>-7.9451337232188141E-2</v>
      </c>
      <c r="C27" s="33">
        <f>'BAC for Overlaid Samples'!G27-'BAC for Overlaid Samples'!I27</f>
        <v>0.26578401343740754</v>
      </c>
      <c r="D27" s="45">
        <f>'BAC for Independent Groups'!E27-'BAC for Independent Groups'!G27</f>
        <v>4.6579248239169146E-3</v>
      </c>
      <c r="E27" s="47">
        <f>'BAC for Independent Groups'!F27-'BAC for Independent Groups'!H27</f>
        <v>0.36228304186015858</v>
      </c>
    </row>
    <row r="28" spans="1:5" x14ac:dyDescent="0.25">
      <c r="A28" s="54">
        <v>3</v>
      </c>
      <c r="B28" s="45">
        <f>'BAC for Overlaid Samples'!F28-'BAC for Overlaid Samples'!H28</f>
        <v>-0.73908877189185429</v>
      </c>
      <c r="C28" s="33">
        <f>'BAC for Overlaid Samples'!G28-'BAC for Overlaid Samples'!I28</f>
        <v>0.20932431860205811</v>
      </c>
      <c r="D28" s="45">
        <f>'BAC for Independent Groups'!E28-'BAC for Independent Groups'!G28</f>
        <v>-0.65497950983574782</v>
      </c>
      <c r="E28" s="47">
        <f>'BAC for Independent Groups'!F28-'BAC for Independent Groups'!H28</f>
        <v>0.30582334702480907</v>
      </c>
    </row>
    <row r="29" spans="1:5" x14ac:dyDescent="0.25">
      <c r="A29" s="54">
        <v>3</v>
      </c>
      <c r="B29" s="45">
        <f>'BAC for Overlaid Samples'!F29-'BAC for Overlaid Samples'!H29</f>
        <v>0.35764080028480794</v>
      </c>
      <c r="C29" s="33">
        <f>'BAC for Overlaid Samples'!G29-'BAC for Overlaid Samples'!I29</f>
        <v>-0.91187112133658899</v>
      </c>
      <c r="D29" s="45">
        <f>'BAC for Independent Groups'!E29-'BAC for Independent Groups'!G29</f>
        <v>0.44175006234091363</v>
      </c>
      <c r="E29" s="47">
        <f>'BAC for Independent Groups'!F29-'BAC for Independent Groups'!H29</f>
        <v>-0.81537209291383794</v>
      </c>
    </row>
    <row r="30" spans="1:5" x14ac:dyDescent="0.25">
      <c r="A30" s="54">
        <v>3</v>
      </c>
      <c r="B30" s="45">
        <f>'BAC for Overlaid Samples'!F30-'BAC for Overlaid Samples'!H30</f>
        <v>-0.32363951739507524</v>
      </c>
      <c r="C30" s="33">
        <f>'BAC for Overlaid Samples'!G30-'BAC for Overlaid Samples'!I30</f>
        <v>-0.59005086077509772</v>
      </c>
      <c r="D30" s="45">
        <f>'BAC for Independent Groups'!E30-'BAC for Independent Groups'!G30</f>
        <v>-0.23953025533896977</v>
      </c>
      <c r="E30" s="47">
        <f>'BAC for Independent Groups'!F30-'BAC for Independent Groups'!H30</f>
        <v>-0.49355183235234668</v>
      </c>
    </row>
    <row r="31" spans="1:5" x14ac:dyDescent="0.25">
      <c r="A31" s="54">
        <v>3</v>
      </c>
      <c r="B31" s="45">
        <f>'BAC for Overlaid Samples'!F31-'BAC for Overlaid Samples'!H31</f>
        <v>2.4999098213207227E-2</v>
      </c>
      <c r="C31" s="33">
        <f>'BAC for Overlaid Samples'!G31-'BAC for Overlaid Samples'!I31</f>
        <v>-1.0516088660540792</v>
      </c>
      <c r="D31" s="45">
        <f>'BAC for Independent Groups'!E31-'BAC for Independent Groups'!G31</f>
        <v>0.10910836026931392</v>
      </c>
      <c r="E31" s="47">
        <f>'BAC for Independent Groups'!F31-'BAC for Independent Groups'!H31</f>
        <v>-0.95510983763132806</v>
      </c>
    </row>
    <row r="32" spans="1:5" ht="13" thickBot="1" x14ac:dyDescent="0.3">
      <c r="A32" s="54">
        <v>3</v>
      </c>
      <c r="B32" s="45">
        <f>'BAC for Overlaid Samples'!F32-'BAC for Overlaid Samples'!H32</f>
        <v>-0.13873401680930558</v>
      </c>
      <c r="C32" s="33">
        <f>'BAC for Overlaid Samples'!G32-'BAC for Overlaid Samples'!I32</f>
        <v>-1.0031476279870706</v>
      </c>
      <c r="D32" s="44">
        <f>'BAC for Independent Groups'!E32-'BAC for Independent Groups'!G32</f>
        <v>-5.4624754753199056E-2</v>
      </c>
      <c r="E32" s="51">
        <f>'BAC for Independent Groups'!F32-'BAC for Independent Groups'!H32</f>
        <v>-0.90664859956431965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Instructions</vt:lpstr>
      <vt:lpstr>BAC for Overlaid Samples</vt:lpstr>
      <vt:lpstr>BAC for Independent Groups</vt:lpstr>
      <vt:lpstr>Chart Data</vt:lpstr>
      <vt:lpstr>Overlaid Samples</vt:lpstr>
      <vt:lpstr>Overlaid Independent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2014-05-04T23:53:00Z</dcterms:created>
  <dcterms:modified xsi:type="dcterms:W3CDTF">2017-05-26T18:54:45Z</dcterms:modified>
</cp:coreProperties>
</file>