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2420" windowHeight="9792" activeTab="4"/>
  </bookViews>
  <sheets>
    <sheet name="Raw Shot Analysis" sheetId="3" r:id="rId1"/>
    <sheet name="Chronograph Analysis" sheetId="2" r:id="rId2"/>
    <sheet name="Uniformly Adjusted Shots" sheetId="1" r:id="rId3"/>
    <sheet name="Rank Adjusted Shots" sheetId="5" r:id="rId4"/>
    <sheet name="Targets" sheetId="4" r:id="rId5"/>
  </sheets>
  <calcPr calcId="145621"/>
</workbook>
</file>

<file path=xl/calcChain.xml><?xml version="1.0" encoding="utf-8"?>
<calcChain xmlns="http://schemas.openxmlformats.org/spreadsheetml/2006/main">
  <c r="V3" i="5" l="1"/>
  <c r="Q3" i="5" s="1"/>
  <c r="V4" i="5"/>
  <c r="Q4" i="5" s="1"/>
  <c r="V5" i="5"/>
  <c r="Q5" i="5" s="1"/>
  <c r="V6" i="5"/>
  <c r="Q6" i="5" s="1"/>
  <c r="V7" i="5"/>
  <c r="Q7" i="5" s="1"/>
  <c r="V8" i="5"/>
  <c r="Q8" i="5" s="1"/>
  <c r="V9" i="5"/>
  <c r="Q9" i="5" s="1"/>
  <c r="V10" i="5"/>
  <c r="Q10" i="5" s="1"/>
  <c r="V11" i="5"/>
  <c r="Q11" i="5" s="1"/>
  <c r="V12" i="5"/>
  <c r="Q12" i="5" s="1"/>
  <c r="V13" i="5"/>
  <c r="Q13" i="5" s="1"/>
  <c r="V14" i="5"/>
  <c r="Q14" i="5" s="1"/>
  <c r="V15" i="5"/>
  <c r="Q15" i="5" s="1"/>
  <c r="V16" i="5"/>
  <c r="Q16" i="5" s="1"/>
  <c r="V17" i="5"/>
  <c r="Q17" i="5" s="1"/>
  <c r="V18" i="5"/>
  <c r="Q18" i="5" s="1"/>
  <c r="V19" i="5"/>
  <c r="Q19" i="5" s="1"/>
  <c r="V20" i="5"/>
  <c r="Q20" i="5" s="1"/>
  <c r="V21" i="5"/>
  <c r="Q21" i="5" s="1"/>
  <c r="V2" i="5"/>
  <c r="Q2" i="5" s="1"/>
  <c r="M8" i="5"/>
  <c r="J5" i="5"/>
  <c r="J4" i="5"/>
  <c r="J3" i="5"/>
  <c r="J2" i="5"/>
  <c r="D10" i="5" l="1"/>
  <c r="D7" i="5"/>
  <c r="D4" i="5"/>
  <c r="D19" i="5"/>
  <c r="S2" i="1"/>
  <c r="F5" i="2"/>
  <c r="F4" i="2"/>
  <c r="F3" i="2"/>
  <c r="F2" i="2"/>
  <c r="M8" i="3"/>
  <c r="K5" i="3"/>
  <c r="J5" i="3"/>
  <c r="K4" i="3"/>
  <c r="J4" i="3"/>
  <c r="K3" i="3"/>
  <c r="J3" i="3"/>
  <c r="K2" i="3"/>
  <c r="J2" i="3"/>
  <c r="D18" i="5" l="1"/>
  <c r="D15" i="5"/>
  <c r="D5" i="5"/>
  <c r="D3" i="5"/>
  <c r="D13" i="5"/>
  <c r="D9" i="5"/>
  <c r="D11" i="5"/>
  <c r="D17" i="5"/>
  <c r="D12" i="5"/>
  <c r="D2" i="5"/>
  <c r="D14" i="5"/>
  <c r="D20" i="5"/>
  <c r="D16" i="5"/>
  <c r="D8" i="5"/>
  <c r="D6" i="5"/>
  <c r="D21" i="5"/>
  <c r="J9" i="3"/>
  <c r="J14" i="3"/>
  <c r="G6" i="2"/>
  <c r="G7" i="2" s="1"/>
  <c r="E10" i="3"/>
  <c r="F10" i="3" s="1"/>
  <c r="E12" i="3"/>
  <c r="F12" i="3" s="1"/>
  <c r="E17" i="3"/>
  <c r="F17" i="3" s="1"/>
  <c r="E21" i="3"/>
  <c r="F21" i="3" s="1"/>
  <c r="E2" i="3"/>
  <c r="E6" i="3"/>
  <c r="F6" i="3" s="1"/>
  <c r="E15" i="3"/>
  <c r="F15" i="3" s="1"/>
  <c r="E20" i="3"/>
  <c r="F20" i="3" s="1"/>
  <c r="E3" i="3"/>
  <c r="F3" i="3" s="1"/>
  <c r="E7" i="3"/>
  <c r="F7" i="3" s="1"/>
  <c r="E8" i="3"/>
  <c r="F8" i="3" s="1"/>
  <c r="E19" i="3"/>
  <c r="F19" i="3" s="1"/>
  <c r="E5" i="3"/>
  <c r="F5" i="3" s="1"/>
  <c r="J8" i="3"/>
  <c r="E13" i="3"/>
  <c r="F13" i="3" s="1"/>
  <c r="E16" i="3"/>
  <c r="F16" i="3" s="1"/>
  <c r="E4" i="3"/>
  <c r="F4" i="3" s="1"/>
  <c r="E9" i="3"/>
  <c r="F9" i="3" s="1"/>
  <c r="E11" i="3"/>
  <c r="F11" i="3" s="1"/>
  <c r="E14" i="3"/>
  <c r="F14" i="3" s="1"/>
  <c r="E18" i="3"/>
  <c r="F18" i="3" s="1"/>
  <c r="M8" i="1"/>
  <c r="K2" i="5" l="1"/>
  <c r="E8" i="5" s="1"/>
  <c r="F8" i="5" s="1"/>
  <c r="K4" i="5"/>
  <c r="K5" i="5"/>
  <c r="J14" i="5" s="1"/>
  <c r="K3" i="5"/>
  <c r="J9" i="5" s="1"/>
  <c r="E2" i="5"/>
  <c r="E4" i="5"/>
  <c r="F4" i="5" s="1"/>
  <c r="C10" i="2"/>
  <c r="C8" i="2"/>
  <c r="C6" i="2"/>
  <c r="C21" i="2"/>
  <c r="C14" i="2"/>
  <c r="C17" i="2"/>
  <c r="C3" i="2"/>
  <c r="C2" i="2"/>
  <c r="C5" i="2"/>
  <c r="C13" i="2"/>
  <c r="C15" i="2"/>
  <c r="F2" i="3"/>
  <c r="J11" i="3"/>
  <c r="L11" i="3" s="1"/>
  <c r="C18" i="2"/>
  <c r="C7" i="2"/>
  <c r="C19" i="2"/>
  <c r="C20" i="2"/>
  <c r="C16" i="2"/>
  <c r="C12" i="2"/>
  <c r="C11" i="2"/>
  <c r="C9" i="2"/>
  <c r="C4" i="2"/>
  <c r="J5" i="1"/>
  <c r="J4" i="1"/>
  <c r="J3" i="1"/>
  <c r="J2" i="1"/>
  <c r="E20" i="5" l="1"/>
  <c r="F20" i="5" s="1"/>
  <c r="E6" i="5"/>
  <c r="F6" i="5" s="1"/>
  <c r="E17" i="5"/>
  <c r="F17" i="5" s="1"/>
  <c r="E11" i="5"/>
  <c r="F11" i="5" s="1"/>
  <c r="E15" i="5"/>
  <c r="F15" i="5" s="1"/>
  <c r="E14" i="5"/>
  <c r="F14" i="5" s="1"/>
  <c r="E10" i="5"/>
  <c r="F10" i="5" s="1"/>
  <c r="E12" i="5"/>
  <c r="F12" i="5" s="1"/>
  <c r="E16" i="5"/>
  <c r="F16" i="5" s="1"/>
  <c r="E5" i="5"/>
  <c r="F5" i="5" s="1"/>
  <c r="E21" i="5"/>
  <c r="F21" i="5" s="1"/>
  <c r="E18" i="5"/>
  <c r="F18" i="5" s="1"/>
  <c r="E19" i="5"/>
  <c r="F19" i="5" s="1"/>
  <c r="E3" i="5"/>
  <c r="F3" i="5" s="1"/>
  <c r="E7" i="5"/>
  <c r="F7" i="5" s="1"/>
  <c r="E9" i="5"/>
  <c r="F9" i="5" s="1"/>
  <c r="E13" i="5"/>
  <c r="F13" i="5" s="1"/>
  <c r="J8" i="5"/>
  <c r="F2" i="5"/>
  <c r="G9" i="2"/>
  <c r="S1" i="1" s="1"/>
  <c r="J12" i="3"/>
  <c r="J11" i="5" l="1"/>
  <c r="J12" i="5" s="1"/>
  <c r="Q3" i="1"/>
  <c r="D3" i="1" s="1"/>
  <c r="Q7" i="1"/>
  <c r="D7" i="1" s="1"/>
  <c r="Q11" i="1"/>
  <c r="D11" i="1" s="1"/>
  <c r="Q15" i="1"/>
  <c r="D15" i="1" s="1"/>
  <c r="Q19" i="1"/>
  <c r="D19" i="1" s="1"/>
  <c r="Q4" i="1"/>
  <c r="D4" i="1" s="1"/>
  <c r="Q8" i="1"/>
  <c r="D8" i="1" s="1"/>
  <c r="Q12" i="1"/>
  <c r="D12" i="1" s="1"/>
  <c r="Q16" i="1"/>
  <c r="D16" i="1" s="1"/>
  <c r="Q20" i="1"/>
  <c r="D20" i="1" s="1"/>
  <c r="Q5" i="1"/>
  <c r="D5" i="1" s="1"/>
  <c r="Q9" i="1"/>
  <c r="D9" i="1" s="1"/>
  <c r="Q13" i="1"/>
  <c r="D13" i="1" s="1"/>
  <c r="Q17" i="1"/>
  <c r="D17" i="1" s="1"/>
  <c r="Q21" i="1"/>
  <c r="D21" i="1" s="1"/>
  <c r="Q6" i="1"/>
  <c r="D6" i="1" s="1"/>
  <c r="Q10" i="1"/>
  <c r="D10" i="1" s="1"/>
  <c r="Q14" i="1"/>
  <c r="D14" i="1" s="1"/>
  <c r="Q18" i="1"/>
  <c r="D18" i="1" s="1"/>
  <c r="Q2" i="1"/>
  <c r="S3" i="1"/>
  <c r="L14" i="3"/>
  <c r="L15" i="3" s="1"/>
  <c r="K14" i="3"/>
  <c r="K15" i="3" s="1"/>
  <c r="J15" i="3"/>
  <c r="L11" i="5" l="1"/>
  <c r="L14" i="5" s="1"/>
  <c r="L15" i="5" s="1"/>
  <c r="J15" i="5"/>
  <c r="M15" i="3"/>
  <c r="L17" i="3"/>
  <c r="L18" i="3" s="1"/>
  <c r="L16" i="3"/>
  <c r="K17" i="3"/>
  <c r="K18" i="3" s="1"/>
  <c r="K16" i="3"/>
  <c r="J17" i="3"/>
  <c r="H15" i="3"/>
  <c r="J16" i="3"/>
  <c r="H16" i="3" s="1"/>
  <c r="K14" i="5" l="1"/>
  <c r="K15" i="5" s="1"/>
  <c r="K16" i="5" s="1"/>
  <c r="L17" i="5"/>
  <c r="L18" i="5" s="1"/>
  <c r="L16" i="5"/>
  <c r="H15" i="5"/>
  <c r="J17" i="5"/>
  <c r="J16" i="5"/>
  <c r="H16" i="5" s="1"/>
  <c r="J18" i="3"/>
  <c r="H18" i="3" s="1"/>
  <c r="H17" i="3"/>
  <c r="K17" i="5" l="1"/>
  <c r="K18" i="5" s="1"/>
  <c r="M15" i="5"/>
  <c r="H17" i="5"/>
  <c r="J18" i="5"/>
  <c r="H18" i="5" s="1"/>
  <c r="D2" i="1"/>
  <c r="K5" i="1" s="1"/>
  <c r="J14" i="1" l="1"/>
  <c r="K4" i="1"/>
  <c r="K3" i="1"/>
  <c r="K2" i="1"/>
  <c r="E6" i="1" l="1"/>
  <c r="F6" i="1" s="1"/>
  <c r="E15" i="1"/>
  <c r="F15" i="1" s="1"/>
  <c r="E12" i="1"/>
  <c r="F12" i="1" s="1"/>
  <c r="E21" i="1"/>
  <c r="F21" i="1" s="1"/>
  <c r="E3" i="1"/>
  <c r="F3" i="1" s="1"/>
  <c r="E16" i="1"/>
  <c r="F16" i="1" s="1"/>
  <c r="E14" i="1"/>
  <c r="F14" i="1" s="1"/>
  <c r="E18" i="1"/>
  <c r="F18" i="1" s="1"/>
  <c r="E7" i="1"/>
  <c r="F7" i="1" s="1"/>
  <c r="E10" i="1"/>
  <c r="F10" i="1" s="1"/>
  <c r="E4" i="1"/>
  <c r="F4" i="1" s="1"/>
  <c r="E17" i="1"/>
  <c r="F17" i="1" s="1"/>
  <c r="E5" i="1"/>
  <c r="F5" i="1" s="1"/>
  <c r="E20" i="1"/>
  <c r="F20" i="1" s="1"/>
  <c r="E8" i="1"/>
  <c r="F8" i="1" s="1"/>
  <c r="E19" i="1"/>
  <c r="F19" i="1" s="1"/>
  <c r="E13" i="1"/>
  <c r="F13" i="1" s="1"/>
  <c r="E11" i="1"/>
  <c r="F11" i="1" s="1"/>
  <c r="E9" i="1"/>
  <c r="F9" i="1" s="1"/>
  <c r="J9" i="1"/>
  <c r="J8" i="1"/>
  <c r="E2" i="1"/>
  <c r="F2" i="1" l="1"/>
  <c r="J11" i="1"/>
  <c r="L11" i="1" s="1"/>
  <c r="K14" i="1" l="1"/>
  <c r="J12" i="1"/>
  <c r="K15" i="1" l="1"/>
  <c r="L14" i="1"/>
  <c r="L15" i="1" s="1"/>
  <c r="J15" i="1"/>
  <c r="L16" i="1" l="1"/>
  <c r="L17" i="1"/>
  <c r="L18" i="1" s="1"/>
  <c r="M15" i="1"/>
  <c r="K16" i="1"/>
  <c r="K17" i="1"/>
  <c r="K18" i="1" s="1"/>
  <c r="J16" i="1"/>
  <c r="H16" i="1" s="1"/>
  <c r="H15" i="1"/>
  <c r="J17" i="1"/>
  <c r="J18" i="1" l="1"/>
  <c r="H18" i="1" s="1"/>
  <c r="H17" i="1"/>
</calcChain>
</file>

<file path=xl/sharedStrings.xml><?xml version="1.0" encoding="utf-8"?>
<sst xmlns="http://schemas.openxmlformats.org/spreadsheetml/2006/main" count="100" uniqueCount="38">
  <si>
    <t>X</t>
  </si>
  <si>
    <t>Y</t>
  </si>
  <si>
    <t>Center</t>
  </si>
  <si>
    <t>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</si>
  <si>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</si>
  <si>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</si>
  <si>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</si>
  <si>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</si>
  <si>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</si>
  <si>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</si>
  <si>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</si>
  <si>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</si>
  <si>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</si>
  <si>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</si>
  <si>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</si>
  <si>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</si>
  <si>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</si>
  <si>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</si>
  <si>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</si>
  <si>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</si>
  <si>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</si>
  <si>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</si>
  <si>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</si>
  <si>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</si>
  <si>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</si>
  <si>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</si>
  <si>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</si>
  <si>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</si>
  <si>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</si>
  <si>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</si>
  <si>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</si>
  <si>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</si>
  <si>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</si>
  <si>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Original Y variance</t>
  </si>
  <si>
    <t>Adjusted Y variance</t>
  </si>
  <si>
    <t>Adjusted Y</t>
  </si>
  <si>
    <t>Original Y</t>
  </si>
  <si>
    <t>Excess Drop (inches @ 100 yds)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</si>
</sst>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16" fillId="0" borderId="0" xfId="0" applyFont="1" applyAlignment="1">
      <alignment horizontal="right"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0" fillId="6" borderId="10" xfId="11" applyFont="1" applyBorder="1"/>
    <xf numFmtId="166" fontId="11" fillId="6" borderId="4" xfId="12" applyNumberFormat="1"/>
    <xf numFmtId="164" fontId="11" fillId="6" borderId="4" xfId="12" applyNumberFormat="1"/>
    <xf numFmtId="2" fontId="11" fillId="6" borderId="4" xfId="12" applyNumberFormat="1"/>
    <xf numFmtId="0" fontId="22" fillId="0" borderId="0" xfId="0" applyFont="1" applyAlignment="1">
      <alignment horizontal="center"/>
    </xf>
    <xf numFmtId="166" fontId="9" fillId="5" borderId="4" xfId="10" applyNumberFormat="1"/>
    <xf numFmtId="164" fontId="9" fillId="5" borderId="4" xfId="10" applyNumberFormat="1"/>
    <xf numFmtId="0" fontId="0" fillId="8" borderId="8" xfId="16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1" xfId="0" applyNumberFormat="1" applyFont="1" applyBorder="1" applyAlignment="1">
      <alignment horizontal="center" vertical="center" wrapText="1"/>
    </xf>
    <xf numFmtId="165" fontId="21" fillId="7" borderId="7" xfId="14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Rank Adjusted</c:v>
          </c:tx>
          <c:spPr>
            <a:ln w="28575">
              <a:noFill/>
            </a:ln>
          </c:spPr>
          <c:marker>
            <c:symbol val="circle"/>
            <c:size val="16"/>
            <c:spPr>
              <a:solidFill>
                <a:schemeClr val="tx2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'Rank Adjusted Shots'!$C$2:$C$41</c:f>
              <c:numCache>
                <c:formatCode>General</c:formatCode>
                <c:ptCount val="40"/>
                <c:pt idx="0">
                  <c:v>2.1819999999999999</c:v>
                </c:pt>
                <c:pt idx="1">
                  <c:v>-9.6000000000000085E-2</c:v>
                </c:pt>
                <c:pt idx="2">
                  <c:v>-0.16900000000000004</c:v>
                </c:pt>
                <c:pt idx="3">
                  <c:v>-0.52899999999999991</c:v>
                </c:pt>
                <c:pt idx="4">
                  <c:v>-0.94200000000000017</c:v>
                </c:pt>
                <c:pt idx="5">
                  <c:v>-0.22999999999999998</c:v>
                </c:pt>
                <c:pt idx="6">
                  <c:v>0.41900000000000004</c:v>
                </c:pt>
                <c:pt idx="7">
                  <c:v>0.37800000000000011</c:v>
                </c:pt>
                <c:pt idx="8">
                  <c:v>0.7799999999999998</c:v>
                </c:pt>
                <c:pt idx="9">
                  <c:v>0.51200000000000001</c:v>
                </c:pt>
                <c:pt idx="10">
                  <c:v>0.19199999999999973</c:v>
                </c:pt>
                <c:pt idx="11">
                  <c:v>-0.13700000000000001</c:v>
                </c:pt>
                <c:pt idx="12">
                  <c:v>-0.22999999999999998</c:v>
                </c:pt>
                <c:pt idx="13">
                  <c:v>-1.4359999999999999</c:v>
                </c:pt>
                <c:pt idx="14">
                  <c:v>-0.45699999999999985</c:v>
                </c:pt>
                <c:pt idx="15">
                  <c:v>-0.42600000000000016</c:v>
                </c:pt>
                <c:pt idx="16">
                  <c:v>0.31599999999999984</c:v>
                </c:pt>
                <c:pt idx="17">
                  <c:v>0.76899999999999968</c:v>
                </c:pt>
                <c:pt idx="18">
                  <c:v>-0.42600000000000016</c:v>
                </c:pt>
                <c:pt idx="19">
                  <c:v>-0.4780000000000002</c:v>
                </c:pt>
              </c:numCache>
            </c:numRef>
          </c:xVal>
          <c:yVal>
            <c:numRef>
              <c:f>'Rank Adjusted Shots'!$D$2:$D$41</c:f>
              <c:numCache>
                <c:formatCode>0.000</c:formatCode>
                <c:ptCount val="40"/>
                <c:pt idx="0">
                  <c:v>-0.76780769230769597</c:v>
                </c:pt>
                <c:pt idx="1">
                  <c:v>-1.4471923076923066</c:v>
                </c:pt>
                <c:pt idx="2">
                  <c:v>-1.6200384615384635</c:v>
                </c:pt>
                <c:pt idx="3">
                  <c:v>-0.6815769230769213</c:v>
                </c:pt>
                <c:pt idx="4">
                  <c:v>-0.48434615384615665</c:v>
                </c:pt>
                <c:pt idx="5">
                  <c:v>-0.315500000000001</c:v>
                </c:pt>
                <c:pt idx="6">
                  <c:v>-2.7269230769229047E-2</c:v>
                </c:pt>
                <c:pt idx="7">
                  <c:v>0.11819230769230593</c:v>
                </c:pt>
                <c:pt idx="8">
                  <c:v>0.22288461538461313</c:v>
                </c:pt>
                <c:pt idx="9">
                  <c:v>0.37834615384615589</c:v>
                </c:pt>
                <c:pt idx="10">
                  <c:v>0.36757692307692036</c:v>
                </c:pt>
                <c:pt idx="11">
                  <c:v>0.38880769230769108</c:v>
                </c:pt>
                <c:pt idx="12">
                  <c:v>0.56765384615384784</c:v>
                </c:pt>
                <c:pt idx="13">
                  <c:v>0.25511538461538219</c:v>
                </c:pt>
                <c:pt idx="14">
                  <c:v>0.15480769230769642</c:v>
                </c:pt>
                <c:pt idx="15">
                  <c:v>0.88750000000000329</c:v>
                </c:pt>
                <c:pt idx="16">
                  <c:v>0.52103846153845934</c:v>
                </c:pt>
                <c:pt idx="17">
                  <c:v>0.28911538461538688</c:v>
                </c:pt>
                <c:pt idx="18">
                  <c:v>0.4665000000000008</c:v>
                </c:pt>
                <c:pt idx="19">
                  <c:v>0.7351923076923077</c:v>
                </c:pt>
              </c:numCache>
            </c:numRef>
          </c:yVal>
          <c:smooth val="0"/>
        </c:ser>
        <c:ser>
          <c:idx val="1"/>
          <c:order val="1"/>
          <c:tx>
            <c:v>Unadjusted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tx1"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'Raw Shot Analysis'!$C$2:$C$21</c:f>
              <c:numCache>
                <c:formatCode>General</c:formatCode>
                <c:ptCount val="20"/>
                <c:pt idx="0">
                  <c:v>2.1819999999999999</c:v>
                </c:pt>
                <c:pt idx="1">
                  <c:v>-9.6000000000000085E-2</c:v>
                </c:pt>
                <c:pt idx="2">
                  <c:v>-0.16900000000000004</c:v>
                </c:pt>
                <c:pt idx="3">
                  <c:v>-0.52899999999999991</c:v>
                </c:pt>
                <c:pt idx="4">
                  <c:v>-0.94200000000000017</c:v>
                </c:pt>
                <c:pt idx="5">
                  <c:v>-0.22999999999999998</c:v>
                </c:pt>
                <c:pt idx="6">
                  <c:v>0.41900000000000004</c:v>
                </c:pt>
                <c:pt idx="7">
                  <c:v>0.37800000000000011</c:v>
                </c:pt>
                <c:pt idx="8">
                  <c:v>0.7799999999999998</c:v>
                </c:pt>
                <c:pt idx="9">
                  <c:v>0.51200000000000001</c:v>
                </c:pt>
                <c:pt idx="10">
                  <c:v>0.19199999999999973</c:v>
                </c:pt>
                <c:pt idx="11">
                  <c:v>-0.13700000000000001</c:v>
                </c:pt>
                <c:pt idx="12">
                  <c:v>-0.22999999999999998</c:v>
                </c:pt>
                <c:pt idx="13">
                  <c:v>-1.4359999999999999</c:v>
                </c:pt>
                <c:pt idx="14">
                  <c:v>-0.45699999999999985</c:v>
                </c:pt>
                <c:pt idx="15">
                  <c:v>-0.42600000000000016</c:v>
                </c:pt>
                <c:pt idx="16">
                  <c:v>0.31599999999999984</c:v>
                </c:pt>
                <c:pt idx="17">
                  <c:v>0.76899999999999968</c:v>
                </c:pt>
                <c:pt idx="18">
                  <c:v>-0.42600000000000016</c:v>
                </c:pt>
                <c:pt idx="19">
                  <c:v>-0.4780000000000002</c:v>
                </c:pt>
              </c:numCache>
            </c:numRef>
          </c:xVal>
          <c:yVal>
            <c:numRef>
              <c:f>'Raw Shot Analysis'!$D$2:$D$21</c:f>
              <c:numCache>
                <c:formatCode>General</c:formatCode>
                <c:ptCount val="20"/>
                <c:pt idx="0">
                  <c:v>2.5069999999999997</c:v>
                </c:pt>
                <c:pt idx="1">
                  <c:v>2.8979999999999997</c:v>
                </c:pt>
                <c:pt idx="2">
                  <c:v>1.8679999999999999</c:v>
                </c:pt>
                <c:pt idx="3">
                  <c:v>2.0849999999999995</c:v>
                </c:pt>
                <c:pt idx="4">
                  <c:v>1.9499999999999997</c:v>
                </c:pt>
                <c:pt idx="5">
                  <c:v>1.0129999999999999</c:v>
                </c:pt>
                <c:pt idx="6">
                  <c:v>0.99099999999999966</c:v>
                </c:pt>
                <c:pt idx="7">
                  <c:v>0.69199999999999973</c:v>
                </c:pt>
                <c:pt idx="8">
                  <c:v>-0.36900000000000066</c:v>
                </c:pt>
                <c:pt idx="9">
                  <c:v>0.125</c:v>
                </c:pt>
                <c:pt idx="10">
                  <c:v>0.18699999999999939</c:v>
                </c:pt>
                <c:pt idx="11">
                  <c:v>9.4999999999999751E-2</c:v>
                </c:pt>
                <c:pt idx="12">
                  <c:v>-0.14200000000000035</c:v>
                </c:pt>
                <c:pt idx="13">
                  <c:v>-0.59600000000000009</c:v>
                </c:pt>
                <c:pt idx="14">
                  <c:v>-0.92500000000000071</c:v>
                </c:pt>
                <c:pt idx="15">
                  <c:v>-1.42</c:v>
                </c:pt>
                <c:pt idx="16">
                  <c:v>-1.6580000000000004</c:v>
                </c:pt>
                <c:pt idx="17">
                  <c:v>-3.9050000000000011</c:v>
                </c:pt>
                <c:pt idx="18">
                  <c:v>-2.7090000000000005</c:v>
                </c:pt>
                <c:pt idx="19">
                  <c:v>-2.6779999999999999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82528"/>
        <c:axId val="133146880"/>
      </c:scatterChart>
      <c:valAx>
        <c:axId val="122582528"/>
        <c:scaling>
          <c:orientation val="minMax"/>
          <c:max val="4"/>
          <c:min val="-4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133146880"/>
        <c:crosses val="autoZero"/>
        <c:crossBetween val="midCat"/>
      </c:valAx>
      <c:valAx>
        <c:axId val="133146880"/>
        <c:scaling>
          <c:orientation val="minMax"/>
          <c:max val="4"/>
          <c:min val="-4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12258252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7.5237303468134439E-2"/>
          <c:y val="0.15372168284789645"/>
          <c:w val="0.26335492954157425"/>
          <c:h val="0.2049648981984048"/>
        </c:manualLayout>
      </c:layout>
      <c:overlay val="1"/>
      <c:spPr>
        <a:solidFill>
          <a:schemeClr val="bg1"/>
        </a:solidFill>
        <a:effectLst>
          <a:softEdge rad="38100"/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7888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0.07154</cdr:x>
      <cdr:y>0.04125</cdr:y>
    </cdr:from>
    <cdr:to>
      <cdr:x>0.9551</cdr:x>
      <cdr:y>0.13471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9164" y="259027"/>
          <a:ext cx="5547776" cy="5867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6350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/>
            <a:t>20 shots of Remington Express 220gr .300BLK at 100 yards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pane ySplit="1" topLeftCell="A2" activePane="bottomLeft" state="frozen"/>
      <selection pane="bottomLeft"/>
    </sheetView>
  </sheetViews>
  <sheetFormatPr defaultRowHeight="13.2" x14ac:dyDescent="0.25"/>
  <sheetData>
    <row r="1" spans="1:14" x14ac:dyDescent="0.25">
      <c r="A1" t="s">
        <v>20</v>
      </c>
      <c r="B1" t="s">
        <v>7</v>
      </c>
      <c r="C1" s="7" t="s">
        <v>0</v>
      </c>
      <c r="D1" s="7" t="s">
        <v>1</v>
      </c>
      <c r="E1" s="7" t="s">
        <v>3</v>
      </c>
      <c r="F1" s="7" t="s">
        <v>6</v>
      </c>
      <c r="J1" s="7" t="s">
        <v>0</v>
      </c>
      <c r="K1" s="7" t="s">
        <v>1</v>
      </c>
    </row>
    <row r="2" spans="1:14" x14ac:dyDescent="0.25">
      <c r="A2">
        <v>1</v>
      </c>
      <c r="B2">
        <v>1</v>
      </c>
      <c r="C2" s="2">
        <v>2.1819999999999999</v>
      </c>
      <c r="D2" s="2">
        <v>2.5069999999999997</v>
      </c>
      <c r="E2" s="37">
        <f t="shared" ref="E2:E41" si="0">SQRT(POWER(C2-$J$2,2)+POWER(D2-$K$2,2))</f>
        <v>3.3235015664957941</v>
      </c>
      <c r="F2" s="37">
        <f>E2*E2</f>
        <v>11.045662662499998</v>
      </c>
      <c r="I2" s="1" t="s">
        <v>2</v>
      </c>
      <c r="J2" s="37">
        <f>AVERAGE(C:C)</f>
        <v>-4.0000000000006697E-4</v>
      </c>
      <c r="K2" s="37">
        <f>AVERAGE(D:D)</f>
        <v>4.4999999999983942E-4</v>
      </c>
    </row>
    <row r="3" spans="1:14" ht="13.8" customHeight="1" x14ac:dyDescent="0.25">
      <c r="A3">
        <v>1</v>
      </c>
      <c r="B3">
        <v>2</v>
      </c>
      <c r="C3" s="2">
        <v>-9.6000000000000085E-2</v>
      </c>
      <c r="D3" s="2">
        <v>2.8979999999999997</v>
      </c>
      <c r="E3" s="37">
        <f t="shared" si="0"/>
        <v>2.8991266551325419</v>
      </c>
      <c r="F3" s="37">
        <f t="shared" ref="F3:F41" si="1">E3*E3</f>
        <v>8.4049353624999998</v>
      </c>
      <c r="I3" s="1" t="s">
        <v>4</v>
      </c>
      <c r="J3" s="3">
        <f>MAX(C:C)-MIN(C:C)</f>
        <v>3.6179999999999999</v>
      </c>
      <c r="K3" s="3">
        <f>MAX(D:D)-MIN(D:D)</f>
        <v>6.8030000000000008</v>
      </c>
    </row>
    <row r="4" spans="1:14" ht="13.2" customHeight="1" x14ac:dyDescent="0.25">
      <c r="A4">
        <v>1</v>
      </c>
      <c r="B4">
        <v>3</v>
      </c>
      <c r="C4" s="2">
        <v>-0.16900000000000004</v>
      </c>
      <c r="D4" s="2">
        <v>1.8679999999999999</v>
      </c>
      <c r="E4" s="37">
        <f t="shared" si="0"/>
        <v>1.875145051056051</v>
      </c>
      <c r="F4" s="37">
        <f t="shared" si="1"/>
        <v>3.5161689625000001</v>
      </c>
      <c r="I4" s="1" t="s">
        <v>5</v>
      </c>
      <c r="J4" s="38">
        <f>STDEV(C:C)</f>
        <v>0.75638067553037702</v>
      </c>
      <c r="K4" s="38">
        <f>STDEV(D:D)</f>
        <v>1.8462087888712</v>
      </c>
    </row>
    <row r="5" spans="1:14" x14ac:dyDescent="0.25">
      <c r="A5">
        <v>1</v>
      </c>
      <c r="B5">
        <v>4</v>
      </c>
      <c r="C5" s="2">
        <v>-0.52899999999999991</v>
      </c>
      <c r="D5" s="2">
        <v>2.0849999999999995</v>
      </c>
      <c r="E5" s="37">
        <f t="shared" si="0"/>
        <v>2.1505270662095834</v>
      </c>
      <c r="F5" s="37">
        <f t="shared" si="1"/>
        <v>4.6247666624999981</v>
      </c>
      <c r="I5" s="4" t="s">
        <v>12</v>
      </c>
      <c r="J5" s="38">
        <f>VAR(C:C)</f>
        <v>0.57211172631578944</v>
      </c>
      <c r="K5" s="38">
        <f>VAR(D:D)</f>
        <v>3.4084868921052633</v>
      </c>
    </row>
    <row r="6" spans="1:14" x14ac:dyDescent="0.25">
      <c r="A6">
        <v>1</v>
      </c>
      <c r="B6">
        <v>5</v>
      </c>
      <c r="C6" s="2">
        <v>-0.94200000000000017</v>
      </c>
      <c r="D6" s="2">
        <v>1.9499999999999997</v>
      </c>
      <c r="E6" s="37">
        <f t="shared" si="0"/>
        <v>2.165030198981067</v>
      </c>
      <c r="F6" s="37">
        <f t="shared" si="1"/>
        <v>4.6873557624999984</v>
      </c>
      <c r="I6" s="4"/>
    </row>
    <row r="7" spans="1:14" x14ac:dyDescent="0.25">
      <c r="A7">
        <v>1</v>
      </c>
      <c r="B7">
        <v>6</v>
      </c>
      <c r="C7" s="2">
        <v>-0.22999999999999998</v>
      </c>
      <c r="D7" s="2">
        <v>1.0129999999999999</v>
      </c>
      <c r="E7" s="37">
        <f t="shared" si="0"/>
        <v>1.0382551047310098</v>
      </c>
      <c r="F7" s="37">
        <f t="shared" si="1"/>
        <v>1.0779736625</v>
      </c>
    </row>
    <row r="8" spans="1:14" x14ac:dyDescent="0.25">
      <c r="A8">
        <v>1</v>
      </c>
      <c r="B8">
        <v>7</v>
      </c>
      <c r="C8" s="2">
        <v>0.41900000000000004</v>
      </c>
      <c r="D8" s="2">
        <v>0.99099999999999966</v>
      </c>
      <c r="E8" s="37">
        <f t="shared" si="0"/>
        <v>1.0756791633661031</v>
      </c>
      <c r="F8" s="37">
        <f t="shared" si="1"/>
        <v>1.1570856624999997</v>
      </c>
      <c r="I8" s="6" t="s">
        <v>8</v>
      </c>
      <c r="J8" s="9">
        <f>SQRT(J3*J3+K3*K3)</f>
        <v>7.7052406192149521</v>
      </c>
      <c r="L8" s="24" t="s">
        <v>23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0.37800000000000011</v>
      </c>
      <c r="D9" s="2">
        <v>0.69199999999999973</v>
      </c>
      <c r="E9" s="37">
        <f t="shared" si="0"/>
        <v>0.78830702299294531</v>
      </c>
      <c r="F9" s="37">
        <f t="shared" si="1"/>
        <v>0.62142796249999999</v>
      </c>
      <c r="I9" s="8" t="s">
        <v>9</v>
      </c>
      <c r="J9" s="10">
        <f>AVERAGE(J3:K3)</f>
        <v>5.2105000000000006</v>
      </c>
    </row>
    <row r="10" spans="1:14" x14ac:dyDescent="0.25">
      <c r="A10">
        <v>1</v>
      </c>
      <c r="B10">
        <v>9</v>
      </c>
      <c r="C10" s="2">
        <v>0.7799999999999998</v>
      </c>
      <c r="D10" s="2">
        <v>-0.36900000000000066</v>
      </c>
      <c r="E10" s="37">
        <f t="shared" si="0"/>
        <v>0.86343353102598475</v>
      </c>
      <c r="F10" s="37">
        <f t="shared" si="1"/>
        <v>0.74551746250000017</v>
      </c>
    </row>
    <row r="11" spans="1:14" x14ac:dyDescent="0.25">
      <c r="A11">
        <v>1</v>
      </c>
      <c r="B11">
        <v>10</v>
      </c>
      <c r="C11" s="2">
        <v>0.51200000000000001</v>
      </c>
      <c r="D11" s="2">
        <v>0.125</v>
      </c>
      <c r="E11" s="37">
        <f t="shared" si="0"/>
        <v>0.5273200759500819</v>
      </c>
      <c r="F11" s="37">
        <f t="shared" si="1"/>
        <v>0.27806646250000017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</row>
    <row r="12" spans="1:14" x14ac:dyDescent="0.25">
      <c r="A12">
        <v>1</v>
      </c>
      <c r="B12">
        <v>11</v>
      </c>
      <c r="C12" s="2">
        <v>0.19199999999999973</v>
      </c>
      <c r="D12" s="2">
        <v>0.18699999999999939</v>
      </c>
      <c r="E12" s="37">
        <f t="shared" si="0"/>
        <v>0.2679900417926005</v>
      </c>
      <c r="F12" s="37">
        <f t="shared" si="1"/>
        <v>7.1818662499999755E-2</v>
      </c>
      <c r="I12" s="1" t="s">
        <v>11</v>
      </c>
      <c r="J12" s="14">
        <f>1/EXP(LN(SQRT(2/(2*J11-2)))+GAMMALN((2*J11-1)/2)-GAMMALN((2*J11-2)/2))</f>
        <v>1.006599872458809</v>
      </c>
    </row>
    <row r="13" spans="1:14" x14ac:dyDescent="0.25">
      <c r="A13">
        <v>1</v>
      </c>
      <c r="B13">
        <v>12</v>
      </c>
      <c r="C13" s="2">
        <v>-0.13700000000000001</v>
      </c>
      <c r="D13" s="2">
        <v>9.4999999999999751E-2</v>
      </c>
      <c r="E13" s="37">
        <f t="shared" si="0"/>
        <v>0.16613025762936734</v>
      </c>
      <c r="F13" s="37">
        <f t="shared" si="1"/>
        <v>2.7599262499999964E-2</v>
      </c>
      <c r="K13" s="42" t="s">
        <v>15</v>
      </c>
      <c r="L13" s="42"/>
      <c r="M13" s="11">
        <v>0.95</v>
      </c>
    </row>
    <row r="14" spans="1:14" x14ac:dyDescent="0.25">
      <c r="A14">
        <v>1</v>
      </c>
      <c r="B14">
        <v>13</v>
      </c>
      <c r="C14" s="2">
        <v>-0.22999999999999998</v>
      </c>
      <c r="D14" s="2">
        <v>-0.14200000000000035</v>
      </c>
      <c r="E14" s="37">
        <f t="shared" si="0"/>
        <v>0.27020022668384275</v>
      </c>
      <c r="F14" s="37">
        <f t="shared" si="1"/>
        <v>7.3008162500000001E-2</v>
      </c>
      <c r="H14" s="22" t="s">
        <v>23</v>
      </c>
      <c r="I14" s="5" t="s">
        <v>14</v>
      </c>
      <c r="J14" s="17">
        <f>AVERAGE(J5:K5)</f>
        <v>1.9902993092105263</v>
      </c>
      <c r="K14" s="16">
        <f>$L$11*$J$14/CHIINV((1-$M$13)/2,$L$11)</f>
        <v>1.329302782341186</v>
      </c>
      <c r="L14" s="16">
        <f>$L$11*$J$14/CHIINV(0.5+$M$13/2,$L$11)</f>
        <v>3.3057863132386758</v>
      </c>
    </row>
    <row r="15" spans="1:14" x14ac:dyDescent="0.25">
      <c r="A15">
        <v>1</v>
      </c>
      <c r="B15">
        <v>14</v>
      </c>
      <c r="C15" s="2">
        <v>-1.4359999999999999</v>
      </c>
      <c r="D15" s="2">
        <v>-0.59600000000000009</v>
      </c>
      <c r="E15" s="37">
        <f t="shared" si="0"/>
        <v>1.554573884541999</v>
      </c>
      <c r="F15" s="37">
        <f t="shared" si="1"/>
        <v>2.4166999625000005</v>
      </c>
      <c r="H15" s="21">
        <f>J15/$M$8</f>
        <v>1.3560866386691814</v>
      </c>
      <c r="I15" s="15" t="s">
        <v>13</v>
      </c>
      <c r="J15" s="18">
        <f>J12*SQRT(J14)</f>
        <v>1.420090647278899</v>
      </c>
      <c r="K15" s="16">
        <f>$J$12*SQRT(K14)</f>
        <v>1.1605632865887368</v>
      </c>
      <c r="L15" s="16">
        <f>$J$12*SQRT(L14)</f>
        <v>1.8301819154969272</v>
      </c>
      <c r="M15" s="20">
        <f t="shared" ref="M15" si="2">(L15-K15)/J15</f>
        <v>0.47153231393452066</v>
      </c>
      <c r="N15" s="12" t="s">
        <v>19</v>
      </c>
    </row>
    <row r="16" spans="1:14" x14ac:dyDescent="0.25">
      <c r="A16">
        <v>1</v>
      </c>
      <c r="B16">
        <v>15</v>
      </c>
      <c r="C16" s="2">
        <v>-0.45699999999999985</v>
      </c>
      <c r="D16" s="2">
        <v>-0.92500000000000071</v>
      </c>
      <c r="E16" s="37">
        <f t="shared" si="0"/>
        <v>1.0319599132233774</v>
      </c>
      <c r="F16" s="37">
        <f t="shared" si="1"/>
        <v>1.0649412625000008</v>
      </c>
      <c r="H16" s="21">
        <f>J16/$M$8</f>
        <v>1.5966699997684153</v>
      </c>
      <c r="I16" s="15" t="s">
        <v>17</v>
      </c>
      <c r="J16" s="19">
        <f>J15*SQRT(LN(4))</f>
        <v>1.6720289609866634</v>
      </c>
      <c r="K16" s="16">
        <f t="shared" ref="K16:L16" si="3">K15*SQRT(LN(4))</f>
        <v>1.3664588453930777</v>
      </c>
      <c r="L16" s="16">
        <f t="shared" si="3"/>
        <v>2.1548745303326515</v>
      </c>
    </row>
    <row r="17" spans="1:12" x14ac:dyDescent="0.25">
      <c r="A17">
        <v>1</v>
      </c>
      <c r="B17">
        <v>16</v>
      </c>
      <c r="C17" s="2">
        <v>-0.42600000000000016</v>
      </c>
      <c r="D17" s="2">
        <v>-1.42</v>
      </c>
      <c r="E17" s="37">
        <f t="shared" si="0"/>
        <v>1.4828396954829608</v>
      </c>
      <c r="F17" s="37">
        <f t="shared" si="1"/>
        <v>2.1988135624999998</v>
      </c>
      <c r="H17" s="21">
        <f>J17/$M$8</f>
        <v>1.6996025556687415</v>
      </c>
      <c r="I17" s="15" t="s">
        <v>18</v>
      </c>
      <c r="J17" s="19">
        <f>J15*SQRT(PI()/2)</f>
        <v>1.7798196845041634</v>
      </c>
      <c r="K17" s="16">
        <f>K15*SQRT(PI()/2)</f>
        <v>1.4545503743310042</v>
      </c>
      <c r="L17" s="16">
        <f>L15*SQRT(PI()/2)</f>
        <v>2.2937928685514608</v>
      </c>
    </row>
    <row r="18" spans="1:12" x14ac:dyDescent="0.25">
      <c r="A18">
        <v>1</v>
      </c>
      <c r="B18">
        <v>17</v>
      </c>
      <c r="C18" s="2">
        <v>0.31599999999999984</v>
      </c>
      <c r="D18" s="2">
        <v>-1.6580000000000004</v>
      </c>
      <c r="E18" s="37">
        <f t="shared" si="0"/>
        <v>1.6883617392312587</v>
      </c>
      <c r="F18" s="37">
        <f t="shared" si="1"/>
        <v>2.8505653625000007</v>
      </c>
      <c r="H18" s="21">
        <f>J18/$M$8</f>
        <v>3.399205111337483</v>
      </c>
      <c r="I18" s="15" t="s">
        <v>21</v>
      </c>
      <c r="J18" s="19">
        <f>2*J17</f>
        <v>3.5596393690083268</v>
      </c>
      <c r="K18" s="16">
        <f t="shared" ref="K18:L18" si="4">2*K17</f>
        <v>2.9091007486620084</v>
      </c>
      <c r="L18" s="16">
        <f t="shared" si="4"/>
        <v>4.5875857371029216</v>
      </c>
    </row>
    <row r="19" spans="1:12" x14ac:dyDescent="0.25">
      <c r="A19">
        <v>1</v>
      </c>
      <c r="B19">
        <v>18</v>
      </c>
      <c r="C19" s="2">
        <v>0.76899999999999968</v>
      </c>
      <c r="D19" s="2">
        <v>-3.9050000000000011</v>
      </c>
      <c r="E19" s="37">
        <f t="shared" si="0"/>
        <v>3.9805170596921209</v>
      </c>
      <c r="F19" s="37">
        <f t="shared" si="1"/>
        <v>15.844516062500007</v>
      </c>
    </row>
    <row r="20" spans="1:12" x14ac:dyDescent="0.25">
      <c r="A20">
        <v>1</v>
      </c>
      <c r="B20">
        <v>19</v>
      </c>
      <c r="C20" s="2">
        <v>-0.42600000000000016</v>
      </c>
      <c r="D20" s="2">
        <v>-2.7090000000000005</v>
      </c>
      <c r="E20" s="37">
        <f t="shared" si="0"/>
        <v>2.7426729047591514</v>
      </c>
      <c r="F20" s="37">
        <f t="shared" si="1"/>
        <v>7.5222546625000009</v>
      </c>
    </row>
    <row r="21" spans="1:12" x14ac:dyDescent="0.25">
      <c r="A21">
        <v>1</v>
      </c>
      <c r="B21">
        <v>20</v>
      </c>
      <c r="C21" s="2">
        <v>-0.4780000000000002</v>
      </c>
      <c r="D21" s="2">
        <v>-2.6779999999999999</v>
      </c>
      <c r="E21" s="37">
        <f t="shared" si="0"/>
        <v>2.7206977344975312</v>
      </c>
      <c r="F21" s="37">
        <f t="shared" si="1"/>
        <v>7.4021961624999983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C21"/>
    </sheetView>
  </sheetViews>
  <sheetFormatPr defaultRowHeight="13.2" x14ac:dyDescent="0.25"/>
  <cols>
    <col min="3" max="3" width="10.5546875" customWidth="1"/>
    <col min="5" max="5" width="5.77734375" bestFit="1" customWidth="1"/>
  </cols>
  <sheetData>
    <row r="1" spans="1:8" ht="39.6" x14ac:dyDescent="0.25">
      <c r="B1" s="30" t="s">
        <v>26</v>
      </c>
      <c r="C1" s="46" t="s">
        <v>37</v>
      </c>
      <c r="E1" s="43" t="s">
        <v>22</v>
      </c>
      <c r="F1" s="43"/>
      <c r="G1" s="27"/>
      <c r="H1" s="27"/>
    </row>
    <row r="2" spans="1:8" ht="13.8" thickBot="1" x14ac:dyDescent="0.3">
      <c r="A2">
        <v>1</v>
      </c>
      <c r="B2" s="2">
        <v>955</v>
      </c>
      <c r="C2" s="38">
        <f t="shared" ref="C2:C21" si="0">$G$6*B2+$G$7</f>
        <v>2.3646153846153837</v>
      </c>
      <c r="E2" s="1" t="s">
        <v>27</v>
      </c>
      <c r="F2" s="31">
        <f>AVERAGE(B:B)</f>
        <v>959.95</v>
      </c>
      <c r="G2" s="28"/>
      <c r="H2" s="28"/>
    </row>
    <row r="3" spans="1:8" ht="13.8" customHeight="1" thickTop="1" thickBot="1" x14ac:dyDescent="0.3">
      <c r="A3">
        <v>2</v>
      </c>
      <c r="B3" s="2">
        <v>954</v>
      </c>
      <c r="C3" s="38">
        <f t="shared" si="0"/>
        <v>2.4053846153846123</v>
      </c>
      <c r="E3" s="1" t="s">
        <v>5</v>
      </c>
      <c r="F3" s="32">
        <f>STDEV(B:B)</f>
        <v>31.827619584584902</v>
      </c>
      <c r="G3" s="45" t="s">
        <v>32</v>
      </c>
      <c r="H3" s="45"/>
    </row>
    <row r="4" spans="1:8" ht="13.2" customHeight="1" thickTop="1" thickBot="1" x14ac:dyDescent="0.3">
      <c r="A4">
        <v>3</v>
      </c>
      <c r="B4" s="2">
        <v>981</v>
      </c>
      <c r="C4" s="38">
        <f t="shared" si="0"/>
        <v>1.3046153846153885</v>
      </c>
      <c r="E4" s="1" t="s">
        <v>28</v>
      </c>
      <c r="F4" s="33">
        <f>MAX(B:B)</f>
        <v>1013</v>
      </c>
      <c r="G4" s="29">
        <v>17.100000000000001</v>
      </c>
      <c r="H4" s="44" t="s">
        <v>31</v>
      </c>
    </row>
    <row r="5" spans="1:8" ht="14.4" thickTop="1" thickBot="1" x14ac:dyDescent="0.3">
      <c r="A5">
        <v>4</v>
      </c>
      <c r="B5" s="2">
        <v>978</v>
      </c>
      <c r="C5" s="38">
        <f t="shared" si="0"/>
        <v>1.4269230769230745</v>
      </c>
      <c r="E5" s="1" t="s">
        <v>29</v>
      </c>
      <c r="F5" s="33">
        <f>MIN(B:B)</f>
        <v>883</v>
      </c>
      <c r="G5" s="29">
        <v>22.4</v>
      </c>
      <c r="H5" s="44"/>
    </row>
    <row r="6" spans="1:8" ht="13.8" thickTop="1" x14ac:dyDescent="0.25">
      <c r="A6">
        <v>5</v>
      </c>
      <c r="B6" s="2">
        <v>1010</v>
      </c>
      <c r="C6" s="38">
        <f t="shared" si="0"/>
        <v>0.12230769230769312</v>
      </c>
      <c r="G6" s="26">
        <f>(G4-G5)/(F4-F5)</f>
        <v>-4.0769230769230745E-2</v>
      </c>
      <c r="H6" s="26" t="s">
        <v>24</v>
      </c>
    </row>
    <row r="7" spans="1:8" x14ac:dyDescent="0.25">
      <c r="A7">
        <v>6</v>
      </c>
      <c r="B7" s="2">
        <v>934</v>
      </c>
      <c r="C7" s="38">
        <f t="shared" si="0"/>
        <v>3.2207692307692284</v>
      </c>
      <c r="G7" s="23">
        <f>-G6*F4</f>
        <v>41.299230769230746</v>
      </c>
      <c r="H7" s="23" t="s">
        <v>25</v>
      </c>
    </row>
    <row r="8" spans="1:8" ht="13.8" thickBot="1" x14ac:dyDescent="0.3">
      <c r="A8">
        <v>7</v>
      </c>
      <c r="B8" s="2">
        <v>953</v>
      </c>
      <c r="C8" s="38">
        <f t="shared" si="0"/>
        <v>2.4461538461538481</v>
      </c>
    </row>
    <row r="9" spans="1:8" ht="13.8" thickBot="1" x14ac:dyDescent="0.3">
      <c r="A9">
        <v>8</v>
      </c>
      <c r="B9" s="2">
        <v>929</v>
      </c>
      <c r="C9" s="38">
        <f t="shared" si="0"/>
        <v>3.4246153846153859</v>
      </c>
      <c r="G9" s="35">
        <f>VAR(C:C)</f>
        <v>1.6837334957957015</v>
      </c>
      <c r="H9" s="34" t="s">
        <v>30</v>
      </c>
    </row>
    <row r="10" spans="1:8" x14ac:dyDescent="0.25">
      <c r="A10">
        <v>9</v>
      </c>
      <c r="B10" s="2">
        <v>945</v>
      </c>
      <c r="C10" s="38">
        <f t="shared" si="0"/>
        <v>2.7723076923076917</v>
      </c>
    </row>
    <row r="11" spans="1:8" x14ac:dyDescent="0.25">
      <c r="A11">
        <v>10</v>
      </c>
      <c r="B11" s="2">
        <v>948</v>
      </c>
      <c r="C11" s="38">
        <f t="shared" si="0"/>
        <v>2.6499999999999986</v>
      </c>
    </row>
    <row r="12" spans="1:8" x14ac:dyDescent="0.25">
      <c r="A12">
        <v>11</v>
      </c>
      <c r="B12" s="2">
        <v>995</v>
      </c>
      <c r="C12" s="38">
        <f t="shared" si="0"/>
        <v>0.73384615384615159</v>
      </c>
    </row>
    <row r="13" spans="1:8" x14ac:dyDescent="0.25">
      <c r="A13">
        <v>12</v>
      </c>
      <c r="B13" s="2">
        <v>936</v>
      </c>
      <c r="C13" s="38">
        <f t="shared" si="0"/>
        <v>3.139230769230771</v>
      </c>
    </row>
    <row r="14" spans="1:8" x14ac:dyDescent="0.25">
      <c r="A14">
        <v>13</v>
      </c>
      <c r="B14" s="2">
        <v>963</v>
      </c>
      <c r="C14" s="38">
        <f t="shared" si="0"/>
        <v>2.0384615384615401</v>
      </c>
    </row>
    <row r="15" spans="1:8" x14ac:dyDescent="0.25">
      <c r="A15">
        <v>14</v>
      </c>
      <c r="B15" s="2">
        <v>984</v>
      </c>
      <c r="C15" s="38">
        <f t="shared" si="0"/>
        <v>1.1823076923076954</v>
      </c>
    </row>
    <row r="16" spans="1:8" x14ac:dyDescent="0.25">
      <c r="A16">
        <v>15</v>
      </c>
      <c r="B16" s="2">
        <v>1013</v>
      </c>
      <c r="C16" s="38">
        <f t="shared" si="0"/>
        <v>0</v>
      </c>
    </row>
    <row r="17" spans="1:3" x14ac:dyDescent="0.25">
      <c r="A17">
        <v>16</v>
      </c>
      <c r="B17" s="2">
        <v>937</v>
      </c>
      <c r="C17" s="38">
        <f t="shared" si="0"/>
        <v>3.0984615384615353</v>
      </c>
    </row>
    <row r="18" spans="1:3" x14ac:dyDescent="0.25">
      <c r="A18">
        <v>17</v>
      </c>
      <c r="B18" s="2">
        <v>946</v>
      </c>
      <c r="C18" s="38">
        <f t="shared" si="0"/>
        <v>2.731538461538463</v>
      </c>
    </row>
    <row r="19" spans="1:3" x14ac:dyDescent="0.25">
      <c r="A19">
        <v>18</v>
      </c>
      <c r="B19" s="2">
        <v>1004</v>
      </c>
      <c r="C19" s="38">
        <f t="shared" si="0"/>
        <v>0.36692307692307935</v>
      </c>
    </row>
    <row r="20" spans="1:3" x14ac:dyDescent="0.25">
      <c r="A20">
        <v>19</v>
      </c>
      <c r="B20" s="2">
        <v>883</v>
      </c>
      <c r="C20" s="38">
        <f t="shared" si="0"/>
        <v>5.2999999999999972</v>
      </c>
    </row>
    <row r="21" spans="1:3" x14ac:dyDescent="0.25">
      <c r="A21">
        <v>20</v>
      </c>
      <c r="B21" s="2">
        <v>951</v>
      </c>
      <c r="C21" s="38">
        <f t="shared" si="0"/>
        <v>2.5276923076923055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ySplit="1" topLeftCell="A2" activePane="bottomLeft" state="frozen"/>
      <selection pane="bottomLeft" activeCell="O1" sqref="O1"/>
    </sheetView>
  </sheetViews>
  <sheetFormatPr defaultRowHeight="13.2" x14ac:dyDescent="0.25"/>
  <sheetData>
    <row r="1" spans="1:20" x14ac:dyDescent="0.25">
      <c r="A1" t="s">
        <v>20</v>
      </c>
      <c r="B1" t="s">
        <v>7</v>
      </c>
      <c r="C1" s="7" t="s">
        <v>0</v>
      </c>
      <c r="D1" s="39" t="s">
        <v>35</v>
      </c>
      <c r="E1" s="7" t="s">
        <v>3</v>
      </c>
      <c r="F1" s="7" t="s">
        <v>6</v>
      </c>
      <c r="J1" s="7" t="s">
        <v>0</v>
      </c>
      <c r="K1" s="7" t="s">
        <v>1</v>
      </c>
      <c r="P1" s="39" t="s">
        <v>36</v>
      </c>
      <c r="Q1" s="39" t="s">
        <v>35</v>
      </c>
      <c r="S1" s="40">
        <f>'Chronograph Analysis'!G9</f>
        <v>1.6837334957957015</v>
      </c>
      <c r="T1" t="s">
        <v>30</v>
      </c>
    </row>
    <row r="2" spans="1:20" x14ac:dyDescent="0.25">
      <c r="A2">
        <v>1</v>
      </c>
      <c r="B2">
        <v>1</v>
      </c>
      <c r="C2" s="2">
        <v>2.1819999999999999</v>
      </c>
      <c r="D2" s="41">
        <f>Q2</f>
        <v>1.7833517992313028</v>
      </c>
      <c r="E2" s="37">
        <f t="shared" ref="E2:E41" si="0">SQRT(POWER(C2-$J$2,2)+POWER(D2-$K$2,2))</f>
        <v>2.8181681595346553</v>
      </c>
      <c r="F2" s="37">
        <f>E2*E2</f>
        <v>7.9420717754149459</v>
      </c>
      <c r="I2" s="1" t="s">
        <v>2</v>
      </c>
      <c r="J2" s="37">
        <f>AVERAGE(C:C)</f>
        <v>-4.0000000000006697E-4</v>
      </c>
      <c r="K2" s="37">
        <f>AVERAGE(D:D)</f>
        <v>3.2010702419362771E-4</v>
      </c>
      <c r="P2" s="2">
        <v>2.5069999999999997</v>
      </c>
      <c r="Q2" s="37">
        <f>SQRT(($S$2-$S$1)/$S$2)*P2</f>
        <v>1.7833517992313028</v>
      </c>
      <c r="S2" s="36">
        <f>VAR(P:P)</f>
        <v>3.4084868921052633</v>
      </c>
      <c r="T2" t="s">
        <v>33</v>
      </c>
    </row>
    <row r="3" spans="1:20" ht="13.8" customHeight="1" x14ac:dyDescent="0.25">
      <c r="A3">
        <v>1</v>
      </c>
      <c r="B3">
        <v>2</v>
      </c>
      <c r="C3" s="2">
        <v>-9.6000000000000085E-2</v>
      </c>
      <c r="D3" s="41">
        <f t="shared" ref="D3:D41" si="1">Q3</f>
        <v>2.0614892358086618</v>
      </c>
      <c r="E3" s="37">
        <f t="shared" si="0"/>
        <v>2.0633849707347687</v>
      </c>
      <c r="F3" s="37">
        <f t="shared" ref="F3:F11" si="2">E3*E3</f>
        <v>4.2575575374541224</v>
      </c>
      <c r="I3" s="1" t="s">
        <v>4</v>
      </c>
      <c r="J3" s="3">
        <f>MAX(C:C)-MIN(C:C)</f>
        <v>3.6179999999999999</v>
      </c>
      <c r="K3" s="37">
        <f>MAX(D:D)-MIN(D:D)</f>
        <v>4.8393068568689888</v>
      </c>
      <c r="P3" s="2">
        <v>2.8979999999999997</v>
      </c>
      <c r="Q3" s="37">
        <f t="shared" ref="Q3:Q21" si="3">SQRT(($S$2-$S$1)/$S$2)*P3</f>
        <v>2.0614892358086618</v>
      </c>
      <c r="S3" s="36">
        <f>S2-S1</f>
        <v>1.7247533963095618</v>
      </c>
      <c r="T3" t="s">
        <v>34</v>
      </c>
    </row>
    <row r="4" spans="1:20" ht="13.2" customHeight="1" x14ac:dyDescent="0.25">
      <c r="A4">
        <v>1</v>
      </c>
      <c r="B4">
        <v>3</v>
      </c>
      <c r="C4" s="2">
        <v>-0.16900000000000004</v>
      </c>
      <c r="D4" s="41">
        <f t="shared" si="1"/>
        <v>1.3287998248759769</v>
      </c>
      <c r="E4" s="37">
        <f t="shared" si="0"/>
        <v>1.3391356618145727</v>
      </c>
      <c r="F4" s="37">
        <f t="shared" si="2"/>
        <v>1.7932843207435536</v>
      </c>
      <c r="I4" s="1" t="s">
        <v>5</v>
      </c>
      <c r="J4" s="38">
        <f>STDEV(C:C)</f>
        <v>0.75638067553037702</v>
      </c>
      <c r="K4" s="38">
        <f>STDEV(D:D)</f>
        <v>1.3132986698803748</v>
      </c>
      <c r="P4" s="2">
        <v>1.8679999999999999</v>
      </c>
      <c r="Q4" s="37">
        <f t="shared" si="3"/>
        <v>1.3287998248759769</v>
      </c>
    </row>
    <row r="5" spans="1:20" x14ac:dyDescent="0.25">
      <c r="A5">
        <v>1</v>
      </c>
      <c r="B5">
        <v>4</v>
      </c>
      <c r="C5" s="2">
        <v>-0.52899999999999991</v>
      </c>
      <c r="D5" s="41">
        <f t="shared" si="1"/>
        <v>1.4831625454316977</v>
      </c>
      <c r="E5" s="37">
        <f t="shared" si="0"/>
        <v>1.5742425661702559</v>
      </c>
      <c r="F5" s="37">
        <f t="shared" si="2"/>
        <v>2.4782396571423124</v>
      </c>
      <c r="I5" s="4" t="s">
        <v>12</v>
      </c>
      <c r="J5" s="38">
        <f>VAR(C:C)</f>
        <v>0.57211172631578944</v>
      </c>
      <c r="K5" s="38">
        <f>VAR(D:D)</f>
        <v>1.7247533963095618</v>
      </c>
      <c r="P5" s="2">
        <v>2.0849999999999995</v>
      </c>
      <c r="Q5" s="37">
        <f t="shared" si="3"/>
        <v>1.4831625454316977</v>
      </c>
    </row>
    <row r="6" spans="1:20" x14ac:dyDescent="0.25">
      <c r="A6">
        <v>1</v>
      </c>
      <c r="B6">
        <v>5</v>
      </c>
      <c r="C6" s="2">
        <v>-0.94200000000000017</v>
      </c>
      <c r="D6" s="41">
        <f t="shared" si="1"/>
        <v>1.3871304381735303</v>
      </c>
      <c r="E6" s="37">
        <f t="shared" si="0"/>
        <v>1.676261750020722</v>
      </c>
      <c r="F6" s="37">
        <f t="shared" si="2"/>
        <v>2.8098534545825333</v>
      </c>
      <c r="I6" s="4"/>
      <c r="P6" s="2">
        <v>1.9499999999999997</v>
      </c>
      <c r="Q6" s="37">
        <f t="shared" si="3"/>
        <v>1.3871304381735303</v>
      </c>
    </row>
    <row r="7" spans="1:20" x14ac:dyDescent="0.25">
      <c r="A7">
        <v>1</v>
      </c>
      <c r="B7">
        <v>6</v>
      </c>
      <c r="C7" s="2">
        <v>-0.22999999999999998</v>
      </c>
      <c r="D7" s="41">
        <f t="shared" si="1"/>
        <v>0.72059647890758272</v>
      </c>
      <c r="E7" s="37">
        <f t="shared" si="0"/>
        <v>0.75598558973931396</v>
      </c>
      <c r="F7" s="37">
        <f t="shared" si="2"/>
        <v>0.57151421189349827</v>
      </c>
      <c r="P7" s="2">
        <v>1.0129999999999999</v>
      </c>
      <c r="Q7" s="37">
        <f t="shared" si="3"/>
        <v>0.72059647890758272</v>
      </c>
    </row>
    <row r="8" spans="1:20" x14ac:dyDescent="0.25">
      <c r="A8">
        <v>1</v>
      </c>
      <c r="B8">
        <v>7</v>
      </c>
      <c r="C8" s="2">
        <v>0.41900000000000004</v>
      </c>
      <c r="D8" s="41">
        <f t="shared" si="1"/>
        <v>0.70494680216921446</v>
      </c>
      <c r="E8" s="37">
        <f t="shared" si="0"/>
        <v>0.81999703628183573</v>
      </c>
      <c r="F8" s="37">
        <f t="shared" si="2"/>
        <v>0.67239513951099428</v>
      </c>
      <c r="I8" s="6" t="s">
        <v>8</v>
      </c>
      <c r="J8" s="9">
        <f>SQRT(J3*J3+K3*K3)</f>
        <v>6.0422524653426404</v>
      </c>
      <c r="L8" s="24" t="s">
        <v>23</v>
      </c>
      <c r="M8" s="25">
        <f>3600*TAN(RADIANS(1/60))</f>
        <v>1.0471975807331373</v>
      </c>
      <c r="P8" s="2">
        <v>0.99099999999999966</v>
      </c>
      <c r="Q8" s="37">
        <f t="shared" si="3"/>
        <v>0.70494680216921446</v>
      </c>
    </row>
    <row r="9" spans="1:20" x14ac:dyDescent="0.25">
      <c r="A9">
        <v>1</v>
      </c>
      <c r="B9">
        <v>8</v>
      </c>
      <c r="C9" s="2">
        <v>0.37800000000000011</v>
      </c>
      <c r="D9" s="41">
        <f t="shared" si="1"/>
        <v>0.49225346831593986</v>
      </c>
      <c r="E9" s="37">
        <f t="shared" si="0"/>
        <v>0.62063273515968842</v>
      </c>
      <c r="F9" s="37">
        <f t="shared" si="2"/>
        <v>0.38518499195179595</v>
      </c>
      <c r="I9" s="8" t="s">
        <v>9</v>
      </c>
      <c r="J9" s="10">
        <f>AVERAGE(J3:K3)</f>
        <v>4.2286534284344945</v>
      </c>
      <c r="P9" s="2">
        <v>0.69199999999999973</v>
      </c>
      <c r="Q9" s="37">
        <f t="shared" si="3"/>
        <v>0.49225346831593986</v>
      </c>
    </row>
    <row r="10" spans="1:20" x14ac:dyDescent="0.25">
      <c r="A10">
        <v>1</v>
      </c>
      <c r="B10">
        <v>9</v>
      </c>
      <c r="C10" s="2">
        <v>0.7799999999999998</v>
      </c>
      <c r="D10" s="41">
        <f t="shared" si="1"/>
        <v>-0.26248775983899164</v>
      </c>
      <c r="E10" s="37">
        <f t="shared" si="0"/>
        <v>0.82346349942494568</v>
      </c>
      <c r="F10" s="37">
        <f t="shared" si="2"/>
        <v>0.6780921348851775</v>
      </c>
      <c r="P10" s="2">
        <v>-0.36900000000000066</v>
      </c>
      <c r="Q10" s="37">
        <f t="shared" si="3"/>
        <v>-0.26248775983899164</v>
      </c>
    </row>
    <row r="11" spans="1:20" x14ac:dyDescent="0.25">
      <c r="A11">
        <v>1</v>
      </c>
      <c r="B11">
        <v>10</v>
      </c>
      <c r="C11" s="2">
        <v>0.51200000000000001</v>
      </c>
      <c r="D11" s="41">
        <f t="shared" si="1"/>
        <v>8.8918617831636571E-2</v>
      </c>
      <c r="E11" s="37">
        <f t="shared" si="0"/>
        <v>0.52000332317908959</v>
      </c>
      <c r="F11" s="37">
        <f t="shared" si="2"/>
        <v>0.27040345611729671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  <c r="P11" s="2">
        <v>0.125</v>
      </c>
      <c r="Q11" s="37">
        <f t="shared" si="3"/>
        <v>8.8918617831636571E-2</v>
      </c>
    </row>
    <row r="12" spans="1:20" x14ac:dyDescent="0.25">
      <c r="A12">
        <v>1</v>
      </c>
      <c r="B12">
        <v>11</v>
      </c>
      <c r="C12" s="2">
        <v>0.19199999999999973</v>
      </c>
      <c r="D12" s="41">
        <f t="shared" si="1"/>
        <v>0.13302225227612788</v>
      </c>
      <c r="E12" s="37">
        <f t="shared" si="0"/>
        <v>0.23372552140163336</v>
      </c>
      <c r="F12" s="37">
        <f t="shared" ref="F12:F41" si="4">E12*E12</f>
        <v>5.4627619354465369E-2</v>
      </c>
      <c r="I12" s="1" t="s">
        <v>11</v>
      </c>
      <c r="J12" s="14">
        <f>1/EXP(LN(SQRT(2/(2*J11-2)))+GAMMALN((2*J11-1)/2)-GAMMALN((2*J11-2)/2))</f>
        <v>1.006599872458809</v>
      </c>
      <c r="P12" s="2">
        <v>0.18699999999999939</v>
      </c>
      <c r="Q12" s="37">
        <f t="shared" si="3"/>
        <v>0.13302225227612788</v>
      </c>
    </row>
    <row r="13" spans="1:20" x14ac:dyDescent="0.25">
      <c r="A13">
        <v>1</v>
      </c>
      <c r="B13">
        <v>12</v>
      </c>
      <c r="C13" s="2">
        <v>-0.13700000000000001</v>
      </c>
      <c r="D13" s="41">
        <f t="shared" si="1"/>
        <v>6.7578149552043623E-2</v>
      </c>
      <c r="E13" s="37">
        <f t="shared" si="0"/>
        <v>0.15226031749828339</v>
      </c>
      <c r="F13" s="37">
        <f t="shared" si="4"/>
        <v>2.3183204284678065E-2</v>
      </c>
      <c r="K13" s="42" t="s">
        <v>15</v>
      </c>
      <c r="L13" s="42"/>
      <c r="M13" s="11">
        <v>0.95</v>
      </c>
      <c r="P13" s="2">
        <v>9.4999999999999751E-2</v>
      </c>
      <c r="Q13" s="37">
        <f t="shared" si="3"/>
        <v>6.7578149552043623E-2</v>
      </c>
    </row>
    <row r="14" spans="1:20" x14ac:dyDescent="0.25">
      <c r="A14">
        <v>1</v>
      </c>
      <c r="B14">
        <v>13</v>
      </c>
      <c r="C14" s="2">
        <v>-0.22999999999999998</v>
      </c>
      <c r="D14" s="41">
        <f t="shared" si="1"/>
        <v>-0.10101154985673939</v>
      </c>
      <c r="E14" s="37">
        <f t="shared" si="0"/>
        <v>0.25096666050739708</v>
      </c>
      <c r="F14" s="37">
        <f t="shared" si="4"/>
        <v>6.2984264686235095E-2</v>
      </c>
      <c r="H14" s="22" t="s">
        <v>23</v>
      </c>
      <c r="I14" s="5" t="s">
        <v>14</v>
      </c>
      <c r="J14" s="17">
        <f>AVERAGE(J5:K5)</f>
        <v>1.1484325613126756</v>
      </c>
      <c r="K14" s="16">
        <f>$L$11*$J$14/CHIINV((1-$M$13)/2,$L$11)</f>
        <v>0.76702764856493</v>
      </c>
      <c r="L14" s="16">
        <f>$L$11*$J$14/CHIINV(0.5+$M$13/2,$L$11)</f>
        <v>1.9074882985167649</v>
      </c>
      <c r="P14" s="2">
        <v>-0.14200000000000035</v>
      </c>
      <c r="Q14" s="37">
        <f t="shared" si="3"/>
        <v>-0.10101154985673939</v>
      </c>
    </row>
    <row r="15" spans="1:20" x14ac:dyDescent="0.25">
      <c r="A15">
        <v>1</v>
      </c>
      <c r="B15">
        <v>14</v>
      </c>
      <c r="C15" s="2">
        <v>-1.4359999999999999</v>
      </c>
      <c r="D15" s="41">
        <f t="shared" si="1"/>
        <v>-0.42396396982124324</v>
      </c>
      <c r="E15" s="37">
        <f t="shared" si="0"/>
        <v>1.4969850827127786</v>
      </c>
      <c r="F15" s="37">
        <f t="shared" si="4"/>
        <v>2.2409643378645847</v>
      </c>
      <c r="H15" s="21">
        <f>J15/$M$8</f>
        <v>1.030103800673448</v>
      </c>
      <c r="I15" s="15" t="s">
        <v>13</v>
      </c>
      <c r="J15" s="18">
        <f>J12*SQRT(J14)</f>
        <v>1.0787222079692447</v>
      </c>
      <c r="K15" s="16">
        <f>$J$12*SQRT(K14)</f>
        <v>0.88158132256973709</v>
      </c>
      <c r="L15" s="16">
        <f>$J$12*SQRT(L14)</f>
        <v>1.3902337013860302</v>
      </c>
      <c r="M15" s="20">
        <f t="shared" ref="M15" si="5">(L15-K15)/J15</f>
        <v>0.47153231393452061</v>
      </c>
      <c r="N15" s="12" t="s">
        <v>19</v>
      </c>
      <c r="P15" s="2">
        <v>-0.59600000000000009</v>
      </c>
      <c r="Q15" s="37">
        <f t="shared" si="3"/>
        <v>-0.42396396982124324</v>
      </c>
    </row>
    <row r="16" spans="1:20" x14ac:dyDescent="0.25">
      <c r="A16">
        <v>1</v>
      </c>
      <c r="B16">
        <v>15</v>
      </c>
      <c r="C16" s="2">
        <v>-0.45699999999999985</v>
      </c>
      <c r="D16" s="41">
        <f t="shared" si="1"/>
        <v>-0.65799777195411113</v>
      </c>
      <c r="E16" s="37">
        <f t="shared" si="0"/>
        <v>0.80116539477344728</v>
      </c>
      <c r="F16" s="37">
        <f t="shared" si="4"/>
        <v>0.64186598978249365</v>
      </c>
      <c r="H16" s="21">
        <f>J16/$M$8</f>
        <v>1.2128545391442005</v>
      </c>
      <c r="I16" s="15" t="s">
        <v>17</v>
      </c>
      <c r="J16" s="19">
        <f>J15*SQRT(LN(4))</f>
        <v>1.270098339173011</v>
      </c>
      <c r="K16" s="16">
        <f t="shared" ref="K16:L16" si="6">K15*SQRT(LN(4))</f>
        <v>1.037982684856056</v>
      </c>
      <c r="L16" s="16">
        <f t="shared" si="6"/>
        <v>1.6368750936506975</v>
      </c>
      <c r="P16" s="2">
        <v>-0.92500000000000071</v>
      </c>
      <c r="Q16" s="37">
        <f t="shared" si="3"/>
        <v>-0.65799777195411113</v>
      </c>
    </row>
    <row r="17" spans="1:17" x14ac:dyDescent="0.25">
      <c r="A17">
        <v>1</v>
      </c>
      <c r="B17">
        <v>16</v>
      </c>
      <c r="C17" s="2">
        <v>-0.42600000000000016</v>
      </c>
      <c r="D17" s="41">
        <f t="shared" si="1"/>
        <v>-1.0101154985673915</v>
      </c>
      <c r="E17" s="37">
        <f t="shared" si="0"/>
        <v>1.0964102667556672</v>
      </c>
      <c r="F17" s="37">
        <f t="shared" si="4"/>
        <v>1.2021154730472334</v>
      </c>
      <c r="H17" s="21">
        <f>J17/$M$8</f>
        <v>1.2910436562864605</v>
      </c>
      <c r="I17" s="15" t="s">
        <v>18</v>
      </c>
      <c r="J17" s="19">
        <f>J15*SQRT(PI()/2)</f>
        <v>1.3519777934840453</v>
      </c>
      <c r="K17" s="16">
        <f>K15*SQRT(PI()/2)</f>
        <v>1.1048983347699477</v>
      </c>
      <c r="L17" s="16">
        <f>L15*SQRT(PI()/2)</f>
        <v>1.742399552119567</v>
      </c>
      <c r="P17" s="2">
        <v>-1.42</v>
      </c>
      <c r="Q17" s="37">
        <f t="shared" si="3"/>
        <v>-1.0101154985673915</v>
      </c>
    </row>
    <row r="18" spans="1:17" x14ac:dyDescent="0.25">
      <c r="A18">
        <v>1</v>
      </c>
      <c r="B18">
        <v>17</v>
      </c>
      <c r="C18" s="2">
        <v>0.31599999999999984</v>
      </c>
      <c r="D18" s="41">
        <f t="shared" si="1"/>
        <v>-1.1794165469188278</v>
      </c>
      <c r="E18" s="37">
        <f t="shared" si="0"/>
        <v>1.221428480369062</v>
      </c>
      <c r="F18" s="37">
        <f t="shared" si="4"/>
        <v>1.4918875326566763</v>
      </c>
      <c r="H18" s="21">
        <f>J18/$M$8</f>
        <v>2.5820873125729209</v>
      </c>
      <c r="I18" s="15" t="s">
        <v>21</v>
      </c>
      <c r="J18" s="19">
        <f>2*J17</f>
        <v>2.7039555869680907</v>
      </c>
      <c r="K18" s="16">
        <f t="shared" ref="K18:L18" si="7">2*K17</f>
        <v>2.2097966695398954</v>
      </c>
      <c r="L18" s="16">
        <f t="shared" si="7"/>
        <v>3.484799104239134</v>
      </c>
      <c r="P18" s="2">
        <v>-1.6580000000000004</v>
      </c>
      <c r="Q18" s="37">
        <f t="shared" si="3"/>
        <v>-1.1794165469188278</v>
      </c>
    </row>
    <row r="19" spans="1:17" x14ac:dyDescent="0.25">
      <c r="A19">
        <v>1</v>
      </c>
      <c r="B19">
        <v>18</v>
      </c>
      <c r="C19" s="2">
        <v>0.76899999999999968</v>
      </c>
      <c r="D19" s="41">
        <f t="shared" si="1"/>
        <v>-2.7778176210603274</v>
      </c>
      <c r="E19" s="37">
        <f t="shared" si="0"/>
        <v>2.8827115006893465</v>
      </c>
      <c r="F19" s="37">
        <f t="shared" si="4"/>
        <v>8.3100255962066232</v>
      </c>
      <c r="P19" s="2">
        <v>-3.9050000000000011</v>
      </c>
      <c r="Q19" s="37">
        <f t="shared" si="3"/>
        <v>-2.7778176210603274</v>
      </c>
    </row>
    <row r="20" spans="1:17" x14ac:dyDescent="0.25">
      <c r="A20">
        <v>1</v>
      </c>
      <c r="B20">
        <v>19</v>
      </c>
      <c r="C20" s="2">
        <v>-0.42600000000000016</v>
      </c>
      <c r="D20" s="41">
        <f t="shared" si="1"/>
        <v>-1.9270442856472281</v>
      </c>
      <c r="E20" s="37">
        <f t="shared" si="0"/>
        <v>1.9737955471977531</v>
      </c>
      <c r="F20" s="37">
        <f t="shared" si="4"/>
        <v>3.8958688621376774</v>
      </c>
      <c r="P20" s="2">
        <v>-2.7090000000000005</v>
      </c>
      <c r="Q20" s="37">
        <f t="shared" si="3"/>
        <v>-1.9270442856472281</v>
      </c>
    </row>
    <row r="21" spans="1:17" x14ac:dyDescent="0.25">
      <c r="A21">
        <v>1</v>
      </c>
      <c r="B21">
        <v>20</v>
      </c>
      <c r="C21" s="2">
        <v>-0.4780000000000002</v>
      </c>
      <c r="D21" s="41">
        <f t="shared" si="1"/>
        <v>-1.9049924684249819</v>
      </c>
      <c r="E21" s="37">
        <f t="shared" si="0"/>
        <v>1.9642601075633466</v>
      </c>
      <c r="F21" s="37">
        <f t="shared" si="4"/>
        <v>3.8583177701647697</v>
      </c>
      <c r="P21" s="2">
        <v>-2.6779999999999999</v>
      </c>
      <c r="Q21" s="37">
        <f t="shared" si="3"/>
        <v>-1.9049924684249819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pane ySplit="1" topLeftCell="A2" activePane="bottomLeft" state="frozen"/>
      <selection pane="bottomLeft"/>
    </sheetView>
  </sheetViews>
  <sheetFormatPr defaultRowHeight="13.2" x14ac:dyDescent="0.25"/>
  <sheetData>
    <row r="1" spans="1:22" x14ac:dyDescent="0.25">
      <c r="A1" t="s">
        <v>20</v>
      </c>
      <c r="B1" t="s">
        <v>7</v>
      </c>
      <c r="C1" s="7" t="s">
        <v>0</v>
      </c>
      <c r="D1" s="39" t="s">
        <v>35</v>
      </c>
      <c r="E1" s="7" t="s">
        <v>3</v>
      </c>
      <c r="F1" s="7" t="s">
        <v>6</v>
      </c>
      <c r="J1" s="7" t="s">
        <v>0</v>
      </c>
      <c r="K1" s="7" t="s">
        <v>1</v>
      </c>
      <c r="O1" t="s">
        <v>7</v>
      </c>
      <c r="P1" s="39" t="s">
        <v>36</v>
      </c>
      <c r="Q1" s="39" t="s">
        <v>35</v>
      </c>
      <c r="T1" s="47" t="s">
        <v>26</v>
      </c>
      <c r="U1" s="47" t="s">
        <v>37</v>
      </c>
    </row>
    <row r="2" spans="1:22" x14ac:dyDescent="0.25">
      <c r="A2">
        <v>1</v>
      </c>
      <c r="B2">
        <v>1</v>
      </c>
      <c r="C2" s="2">
        <v>2.1819999999999999</v>
      </c>
      <c r="D2" s="41">
        <f>Q2</f>
        <v>-0.76780769230769597</v>
      </c>
      <c r="E2" s="37">
        <f t="shared" ref="E2:E21" si="0">SQRT(POWER(C2-$J$2,2)+POWER(D2-$K$2,2))</f>
        <v>2.313674489160034</v>
      </c>
      <c r="F2" s="37">
        <f>E2*E2</f>
        <v>5.3530896417899445</v>
      </c>
      <c r="I2" s="1" t="s">
        <v>2</v>
      </c>
      <c r="J2" s="37">
        <f>AVERAGE(C:C)</f>
        <v>-4.0000000000006697E-4</v>
      </c>
      <c r="K2" s="37">
        <f>AVERAGE(D:D)</f>
        <v>4.4999999999983942E-4</v>
      </c>
      <c r="O2">
        <v>18</v>
      </c>
      <c r="P2" s="2">
        <v>-3.9050000000000011</v>
      </c>
      <c r="Q2" s="37">
        <f>P2-V2</f>
        <v>-0.76780769230769597</v>
      </c>
      <c r="T2">
        <v>883</v>
      </c>
      <c r="U2">
        <v>5.2999999999999972</v>
      </c>
      <c r="V2">
        <f>AVERAGE(U:U)-U2</f>
        <v>-3.1371923076923052</v>
      </c>
    </row>
    <row r="3" spans="1:22" ht="13.8" customHeight="1" x14ac:dyDescent="0.25">
      <c r="A3">
        <v>1</v>
      </c>
      <c r="B3">
        <v>2</v>
      </c>
      <c r="C3" s="2">
        <v>-9.6000000000000085E-2</v>
      </c>
      <c r="D3" s="41">
        <f t="shared" ref="D3:D21" si="1">Q3</f>
        <v>-1.4471923076923066</v>
      </c>
      <c r="E3" s="37">
        <f t="shared" si="0"/>
        <v>1.4507955097189631</v>
      </c>
      <c r="F3" s="37">
        <f t="shared" ref="F3:F21" si="2">E3*E3</f>
        <v>2.1048076110207061</v>
      </c>
      <c r="I3" s="1" t="s">
        <v>4</v>
      </c>
      <c r="J3" s="3">
        <f>MAX(C:C)-MIN(C:C)</f>
        <v>3.6179999999999999</v>
      </c>
      <c r="K3" s="37">
        <f>MAX(D:D)-MIN(D:D)</f>
        <v>2.5075384615384668</v>
      </c>
      <c r="O3">
        <v>19</v>
      </c>
      <c r="P3" s="2">
        <v>-2.7090000000000005</v>
      </c>
      <c r="Q3" s="37">
        <f>P3-V3</f>
        <v>-1.4471923076923066</v>
      </c>
      <c r="T3">
        <v>929</v>
      </c>
      <c r="U3">
        <v>3.4246153846153859</v>
      </c>
      <c r="V3">
        <f>AVERAGE(U:U)-U3</f>
        <v>-1.261807692307694</v>
      </c>
    </row>
    <row r="4" spans="1:22" ht="13.2" customHeight="1" x14ac:dyDescent="0.25">
      <c r="A4">
        <v>1</v>
      </c>
      <c r="B4">
        <v>3</v>
      </c>
      <c r="C4" s="2">
        <v>-0.16900000000000004</v>
      </c>
      <c r="D4" s="41">
        <f t="shared" si="1"/>
        <v>-1.6200384615384635</v>
      </c>
      <c r="E4" s="37">
        <f t="shared" si="0"/>
        <v>1.6292356532985937</v>
      </c>
      <c r="F4" s="37">
        <f t="shared" si="2"/>
        <v>2.6544088139792952</v>
      </c>
      <c r="I4" s="1" t="s">
        <v>5</v>
      </c>
      <c r="J4" s="38">
        <f>STDEV(C:C)</f>
        <v>0.75638067553037702</v>
      </c>
      <c r="K4" s="38">
        <f>STDEV(D:D)</f>
        <v>0.68491448330388494</v>
      </c>
      <c r="O4">
        <v>20</v>
      </c>
      <c r="P4" s="2">
        <v>-2.6779999999999999</v>
      </c>
      <c r="Q4" s="37">
        <f>P4-V4</f>
        <v>-1.6200384615384635</v>
      </c>
      <c r="T4">
        <v>934</v>
      </c>
      <c r="U4">
        <v>3.2207692307692284</v>
      </c>
      <c r="V4">
        <f>AVERAGE(U:U)-U4</f>
        <v>-1.0579615384615364</v>
      </c>
    </row>
    <row r="5" spans="1:22" x14ac:dyDescent="0.25">
      <c r="A5">
        <v>1</v>
      </c>
      <c r="B5">
        <v>4</v>
      </c>
      <c r="C5" s="2">
        <v>-0.52899999999999991</v>
      </c>
      <c r="D5" s="41">
        <f t="shared" si="1"/>
        <v>-0.6815769230769213</v>
      </c>
      <c r="E5" s="37">
        <f t="shared" si="0"/>
        <v>0.86288972864542335</v>
      </c>
      <c r="F5" s="37">
        <f t="shared" si="2"/>
        <v>0.74457868380177239</v>
      </c>
      <c r="I5" s="4" t="s">
        <v>12</v>
      </c>
      <c r="J5" s="38">
        <f>VAR(C:C)</f>
        <v>0.57211172631578944</v>
      </c>
      <c r="K5" s="38">
        <f>VAR(D:D)</f>
        <v>0.46910784943942774</v>
      </c>
      <c r="O5">
        <v>17</v>
      </c>
      <c r="P5" s="2">
        <v>-1.6580000000000004</v>
      </c>
      <c r="Q5" s="37">
        <f>P5-V5</f>
        <v>-0.6815769230769213</v>
      </c>
      <c r="T5">
        <v>936</v>
      </c>
      <c r="U5">
        <v>3.139230769230771</v>
      </c>
      <c r="V5">
        <f>AVERAGE(U:U)-U5</f>
        <v>-0.97642307692307906</v>
      </c>
    </row>
    <row r="6" spans="1:22" x14ac:dyDescent="0.25">
      <c r="A6">
        <v>1</v>
      </c>
      <c r="B6">
        <v>5</v>
      </c>
      <c r="C6" s="2">
        <v>-0.94200000000000017</v>
      </c>
      <c r="D6" s="41">
        <f t="shared" si="1"/>
        <v>-0.48434615384615665</v>
      </c>
      <c r="E6" s="37">
        <f t="shared" si="0"/>
        <v>1.0590740629361228</v>
      </c>
      <c r="F6" s="37">
        <f t="shared" si="2"/>
        <v>1.1216378707840267</v>
      </c>
      <c r="I6" s="4"/>
      <c r="O6">
        <v>16</v>
      </c>
      <c r="P6" s="2">
        <v>-1.42</v>
      </c>
      <c r="Q6" s="37">
        <f>P6-V6</f>
        <v>-0.48434615384615665</v>
      </c>
      <c r="T6">
        <v>937</v>
      </c>
      <c r="U6">
        <v>3.0984615384615353</v>
      </c>
      <c r="V6">
        <f>AVERAGE(U:U)-U6</f>
        <v>-0.93565384615384328</v>
      </c>
    </row>
    <row r="7" spans="1:22" x14ac:dyDescent="0.25">
      <c r="A7">
        <v>1</v>
      </c>
      <c r="B7">
        <v>6</v>
      </c>
      <c r="C7" s="2">
        <v>-0.22999999999999998</v>
      </c>
      <c r="D7" s="41">
        <f t="shared" si="1"/>
        <v>-0.315500000000001</v>
      </c>
      <c r="E7" s="37">
        <f t="shared" si="0"/>
        <v>0.3905644153017534</v>
      </c>
      <c r="F7" s="37">
        <f t="shared" si="2"/>
        <v>0.1525405625000005</v>
      </c>
      <c r="O7">
        <v>15</v>
      </c>
      <c r="P7" s="2">
        <v>-0.92500000000000071</v>
      </c>
      <c r="Q7" s="37">
        <f>P7-V7</f>
        <v>-0.315500000000001</v>
      </c>
      <c r="T7">
        <v>945</v>
      </c>
      <c r="U7">
        <v>2.7723076923076917</v>
      </c>
      <c r="V7">
        <f>AVERAGE(U:U)-U7</f>
        <v>-0.60949999999999971</v>
      </c>
    </row>
    <row r="8" spans="1:22" x14ac:dyDescent="0.25">
      <c r="A8">
        <v>1</v>
      </c>
      <c r="B8">
        <v>7</v>
      </c>
      <c r="C8" s="2">
        <v>0.41900000000000004</v>
      </c>
      <c r="D8" s="41">
        <f t="shared" si="1"/>
        <v>-2.7269230769229047E-2</v>
      </c>
      <c r="E8" s="37">
        <f t="shared" si="0"/>
        <v>0.42031501966315438</v>
      </c>
      <c r="F8" s="37">
        <f t="shared" si="2"/>
        <v>0.17666471575443785</v>
      </c>
      <c r="I8" s="6" t="s">
        <v>8</v>
      </c>
      <c r="J8" s="9">
        <f>SQRT(J3*J3+K3*K3)</f>
        <v>4.4020078527979365</v>
      </c>
      <c r="L8" s="24" t="s">
        <v>23</v>
      </c>
      <c r="M8" s="25">
        <f>3600*TAN(RADIANS(1/60))</f>
        <v>1.0471975807331373</v>
      </c>
      <c r="O8">
        <v>14</v>
      </c>
      <c r="P8" s="2">
        <v>-0.59600000000000009</v>
      </c>
      <c r="Q8" s="37">
        <f>P8-V8</f>
        <v>-2.7269230769229047E-2</v>
      </c>
      <c r="T8">
        <v>946</v>
      </c>
      <c r="U8">
        <v>2.731538461538463</v>
      </c>
      <c r="V8">
        <f>AVERAGE(U:U)-U8</f>
        <v>-0.56873076923077104</v>
      </c>
    </row>
    <row r="9" spans="1:22" x14ac:dyDescent="0.25">
      <c r="A9">
        <v>1</v>
      </c>
      <c r="B9">
        <v>8</v>
      </c>
      <c r="C9" s="2">
        <v>0.37800000000000011</v>
      </c>
      <c r="D9" s="41">
        <f t="shared" si="1"/>
        <v>0.11819230769230593</v>
      </c>
      <c r="E9" s="37">
        <f t="shared" si="0"/>
        <v>0.39629510597622802</v>
      </c>
      <c r="F9" s="37">
        <f t="shared" si="2"/>
        <v>0.15704981102070981</v>
      </c>
      <c r="I9" s="8" t="s">
        <v>9</v>
      </c>
      <c r="J9" s="10">
        <f>AVERAGE(J3:K3)</f>
        <v>3.0627692307692334</v>
      </c>
      <c r="O9">
        <v>9</v>
      </c>
      <c r="P9" s="2">
        <v>-0.36900000000000066</v>
      </c>
      <c r="Q9" s="37">
        <f>P9-V9</f>
        <v>0.11819230769230593</v>
      </c>
      <c r="T9">
        <v>948</v>
      </c>
      <c r="U9">
        <v>2.6499999999999986</v>
      </c>
      <c r="V9">
        <f>AVERAGE(U:U)-U9</f>
        <v>-0.48719230769230659</v>
      </c>
    </row>
    <row r="10" spans="1:22" x14ac:dyDescent="0.25">
      <c r="A10">
        <v>1</v>
      </c>
      <c r="B10">
        <v>9</v>
      </c>
      <c r="C10" s="2">
        <v>0.7799999999999998</v>
      </c>
      <c r="D10" s="41">
        <f t="shared" si="1"/>
        <v>0.22288461538461313</v>
      </c>
      <c r="E10" s="37">
        <f t="shared" si="0"/>
        <v>0.81148094131735504</v>
      </c>
      <c r="F10" s="37">
        <f t="shared" si="2"/>
        <v>0.65850131812130064</v>
      </c>
      <c r="O10">
        <v>13</v>
      </c>
      <c r="P10" s="2">
        <v>-0.14200000000000035</v>
      </c>
      <c r="Q10" s="37">
        <f>P10-V10</f>
        <v>0.22288461538461313</v>
      </c>
      <c r="T10">
        <v>951</v>
      </c>
      <c r="U10">
        <v>2.5276923076923055</v>
      </c>
      <c r="V10">
        <f>AVERAGE(U:U)-U10</f>
        <v>-0.36488461538461348</v>
      </c>
    </row>
    <row r="11" spans="1:22" x14ac:dyDescent="0.25">
      <c r="A11">
        <v>1</v>
      </c>
      <c r="B11">
        <v>10</v>
      </c>
      <c r="C11" s="2">
        <v>0.51200000000000001</v>
      </c>
      <c r="D11" s="41">
        <f t="shared" si="1"/>
        <v>0.37834615384615589</v>
      </c>
      <c r="E11" s="37">
        <f t="shared" si="0"/>
        <v>0.63667830424141025</v>
      </c>
      <c r="F11" s="37">
        <f t="shared" si="2"/>
        <v>0.40535926309171777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  <c r="O11">
        <v>12</v>
      </c>
      <c r="P11" s="2">
        <v>9.4999999999999751E-2</v>
      </c>
      <c r="Q11" s="37">
        <f>P11-V11</f>
        <v>0.37834615384615589</v>
      </c>
      <c r="T11">
        <v>953</v>
      </c>
      <c r="U11">
        <v>2.4461538461538481</v>
      </c>
      <c r="V11">
        <f>AVERAGE(U:U)-U11</f>
        <v>-0.28334615384615613</v>
      </c>
    </row>
    <row r="12" spans="1:22" x14ac:dyDescent="0.25">
      <c r="A12">
        <v>1</v>
      </c>
      <c r="B12">
        <v>11</v>
      </c>
      <c r="C12" s="2">
        <v>0.19199999999999973</v>
      </c>
      <c r="D12" s="41">
        <f t="shared" si="1"/>
        <v>0.36757692307692036</v>
      </c>
      <c r="E12" s="37">
        <f t="shared" si="0"/>
        <v>0.41448756030540534</v>
      </c>
      <c r="F12" s="37">
        <f t="shared" si="2"/>
        <v>0.17179993764792703</v>
      </c>
      <c r="I12" s="1" t="s">
        <v>11</v>
      </c>
      <c r="J12" s="14">
        <f>1/EXP(LN(SQRT(2/(2*J11-2)))+GAMMALN((2*J11-1)/2)-GAMMALN((2*J11-2)/2))</f>
        <v>1.006599872458809</v>
      </c>
      <c r="O12">
        <v>10</v>
      </c>
      <c r="P12" s="2">
        <v>0.125</v>
      </c>
      <c r="Q12" s="37">
        <f>P12-V12</f>
        <v>0.36757692307692036</v>
      </c>
      <c r="T12">
        <v>954</v>
      </c>
      <c r="U12">
        <v>2.4053846153846123</v>
      </c>
      <c r="V12">
        <f>AVERAGE(U:U)-U12</f>
        <v>-0.24257692307692036</v>
      </c>
    </row>
    <row r="13" spans="1:22" x14ac:dyDescent="0.25">
      <c r="A13">
        <v>1</v>
      </c>
      <c r="B13">
        <v>12</v>
      </c>
      <c r="C13" s="2">
        <v>-0.13700000000000001</v>
      </c>
      <c r="D13" s="41">
        <f t="shared" si="1"/>
        <v>0.38880769230769108</v>
      </c>
      <c r="E13" s="37">
        <f t="shared" si="0"/>
        <v>0.41168101386213496</v>
      </c>
      <c r="F13" s="37">
        <f t="shared" si="2"/>
        <v>0.16948125717455537</v>
      </c>
      <c r="K13" s="42" t="s">
        <v>15</v>
      </c>
      <c r="L13" s="42"/>
      <c r="M13" s="11">
        <v>0.95</v>
      </c>
      <c r="O13">
        <v>11</v>
      </c>
      <c r="P13" s="2">
        <v>0.18699999999999939</v>
      </c>
      <c r="Q13" s="37">
        <f>P13-V13</f>
        <v>0.38880769230769108</v>
      </c>
      <c r="T13">
        <v>955</v>
      </c>
      <c r="U13">
        <v>2.3646153846153837</v>
      </c>
      <c r="V13">
        <f>AVERAGE(U:U)-U13</f>
        <v>-0.20180769230769169</v>
      </c>
    </row>
    <row r="14" spans="1:22" x14ac:dyDescent="0.25">
      <c r="A14">
        <v>1</v>
      </c>
      <c r="B14">
        <v>13</v>
      </c>
      <c r="C14" s="2">
        <v>-0.22999999999999998</v>
      </c>
      <c r="D14" s="41">
        <f t="shared" si="1"/>
        <v>0.56765384615384784</v>
      </c>
      <c r="E14" s="37">
        <f t="shared" si="0"/>
        <v>0.6119120550305559</v>
      </c>
      <c r="F14" s="37">
        <f t="shared" si="2"/>
        <v>0.37443636309171807</v>
      </c>
      <c r="H14" s="22" t="s">
        <v>23</v>
      </c>
      <c r="I14" s="5" t="s">
        <v>14</v>
      </c>
      <c r="J14" s="17">
        <f>AVERAGE(J5:K5)</f>
        <v>0.52060978787760859</v>
      </c>
      <c r="K14" s="16">
        <f>$L$11*$J$14/CHIINV((1-$M$13)/2,$L$11)</f>
        <v>0.34771053596670753</v>
      </c>
      <c r="L14" s="16">
        <f>$L$11*$J$14/CHIINV(0.5+$M$13/2,$L$11)</f>
        <v>0.86470648074864276</v>
      </c>
      <c r="O14">
        <v>8</v>
      </c>
      <c r="P14" s="2">
        <v>0.69199999999999973</v>
      </c>
      <c r="Q14" s="37">
        <f>P14-V14</f>
        <v>0.56765384615384784</v>
      </c>
      <c r="T14">
        <v>963</v>
      </c>
      <c r="U14">
        <v>2.0384615384615401</v>
      </c>
      <c r="V14">
        <f>AVERAGE(U:U)-U14</f>
        <v>0.12434615384615189</v>
      </c>
    </row>
    <row r="15" spans="1:22" x14ac:dyDescent="0.25">
      <c r="A15">
        <v>1</v>
      </c>
      <c r="B15">
        <v>14</v>
      </c>
      <c r="C15" s="2">
        <v>-1.4359999999999999</v>
      </c>
      <c r="D15" s="41">
        <f t="shared" si="1"/>
        <v>0.25511538461538219</v>
      </c>
      <c r="E15" s="37">
        <f t="shared" si="0"/>
        <v>1.4580129691197197</v>
      </c>
      <c r="F15" s="37">
        <f t="shared" si="2"/>
        <v>2.1258018181213005</v>
      </c>
      <c r="H15" s="21">
        <f>J15/$M$8</f>
        <v>0.69356058664727294</v>
      </c>
      <c r="I15" s="15" t="s">
        <v>13</v>
      </c>
      <c r="J15" s="18">
        <f>J12*SQRT(J14)</f>
        <v>0.72629496842887964</v>
      </c>
      <c r="K15" s="16">
        <f>$J$12*SQRT(K14)</f>
        <v>0.59356159918933671</v>
      </c>
      <c r="L15" s="16">
        <f>$J$12*SQRT(L14)</f>
        <v>0.93603314625160594</v>
      </c>
      <c r="M15" s="20">
        <f t="shared" ref="M15" si="3">(L15-K15)/J15</f>
        <v>0.47153231393452066</v>
      </c>
      <c r="N15" s="12" t="s">
        <v>19</v>
      </c>
      <c r="O15">
        <v>7</v>
      </c>
      <c r="P15" s="2">
        <v>0.99099999999999966</v>
      </c>
      <c r="Q15" s="37">
        <f>P15-V15</f>
        <v>0.25511538461538219</v>
      </c>
      <c r="T15">
        <v>978</v>
      </c>
      <c r="U15">
        <v>1.4269230769230745</v>
      </c>
      <c r="V15">
        <f>AVERAGE(U:U)-U15</f>
        <v>0.73588461538461747</v>
      </c>
    </row>
    <row r="16" spans="1:22" x14ac:dyDescent="0.25">
      <c r="A16">
        <v>1</v>
      </c>
      <c r="B16">
        <v>15</v>
      </c>
      <c r="C16" s="2">
        <v>-0.45699999999999985</v>
      </c>
      <c r="D16" s="41">
        <f t="shared" si="1"/>
        <v>0.15480769230769642</v>
      </c>
      <c r="E16" s="37">
        <f t="shared" si="0"/>
        <v>0.48198532879596795</v>
      </c>
      <c r="F16" s="37">
        <f t="shared" si="2"/>
        <v>0.23230985717455732</v>
      </c>
      <c r="H16" s="21">
        <f>J16/$M$8</f>
        <v>0.81660518594021136</v>
      </c>
      <c r="I16" s="15" t="s">
        <v>17</v>
      </c>
      <c r="J16" s="19">
        <f>J15*SQRT(LN(4))</f>
        <v>0.85514697513072313</v>
      </c>
      <c r="K16" s="16">
        <f t="shared" ref="K16:L16" si="4">K15*SQRT(LN(4))</f>
        <v>0.69886537586583808</v>
      </c>
      <c r="L16" s="16">
        <f t="shared" si="4"/>
        <v>1.1020948078033339</v>
      </c>
      <c r="O16">
        <v>6</v>
      </c>
      <c r="P16" s="2">
        <v>1.0129999999999999</v>
      </c>
      <c r="Q16" s="37">
        <f>P16-V16</f>
        <v>0.15480769230769642</v>
      </c>
      <c r="T16">
        <v>981</v>
      </c>
      <c r="U16">
        <v>1.3046153846153885</v>
      </c>
      <c r="V16">
        <f>AVERAGE(U:U)-U16</f>
        <v>0.85819230769230348</v>
      </c>
    </row>
    <row r="17" spans="1:22" x14ac:dyDescent="0.25">
      <c r="A17">
        <v>1</v>
      </c>
      <c r="B17">
        <v>16</v>
      </c>
      <c r="C17" s="2">
        <v>-0.42600000000000016</v>
      </c>
      <c r="D17" s="41">
        <f t="shared" si="1"/>
        <v>0.88750000000000329</v>
      </c>
      <c r="E17" s="37">
        <f t="shared" si="0"/>
        <v>0.98386638447504959</v>
      </c>
      <c r="F17" s="37">
        <f t="shared" si="2"/>
        <v>0.96799306250000616</v>
      </c>
      <c r="H17" s="21">
        <f>J17/$M$8</f>
        <v>0.86924928832985904</v>
      </c>
      <c r="I17" s="15" t="s">
        <v>18</v>
      </c>
      <c r="J17" s="19">
        <f>J15*SQRT(PI()/2)</f>
        <v>0.91027575179302966</v>
      </c>
      <c r="K17" s="16">
        <f>K15*SQRT(PI()/2)</f>
        <v>0.74391914363159217</v>
      </c>
      <c r="L17" s="16">
        <f>L15*SQRT(PI()/2)</f>
        <v>1.1731435751930448</v>
      </c>
      <c r="O17">
        <v>3</v>
      </c>
      <c r="P17" s="2">
        <v>1.8679999999999999</v>
      </c>
      <c r="Q17" s="37">
        <f>P17-V17</f>
        <v>0.88750000000000329</v>
      </c>
      <c r="T17">
        <v>984</v>
      </c>
      <c r="U17">
        <v>1.1823076923076954</v>
      </c>
      <c r="V17">
        <f>AVERAGE(U:U)-U17</f>
        <v>0.9804999999999966</v>
      </c>
    </row>
    <row r="18" spans="1:22" x14ac:dyDescent="0.25">
      <c r="A18">
        <v>1</v>
      </c>
      <c r="B18">
        <v>17</v>
      </c>
      <c r="C18" s="2">
        <v>0.31599999999999984</v>
      </c>
      <c r="D18" s="41">
        <f t="shared" si="1"/>
        <v>0.52103846153845934</v>
      </c>
      <c r="E18" s="37">
        <f t="shared" si="0"/>
        <v>0.60919726385381934</v>
      </c>
      <c r="F18" s="37">
        <f t="shared" si="2"/>
        <v>0.37112130628697998</v>
      </c>
      <c r="H18" s="21">
        <f>J18/$M$8</f>
        <v>1.7384985766597181</v>
      </c>
      <c r="I18" s="15" t="s">
        <v>21</v>
      </c>
      <c r="J18" s="19">
        <f>2*J17</f>
        <v>1.8205515035860593</v>
      </c>
      <c r="K18" s="16">
        <f t="shared" ref="K18:L18" si="5">2*K17</f>
        <v>1.4878382872631843</v>
      </c>
      <c r="L18" s="16">
        <f t="shared" si="5"/>
        <v>2.3462871503860896</v>
      </c>
      <c r="O18">
        <v>5</v>
      </c>
      <c r="P18" s="2">
        <v>1.9499999999999997</v>
      </c>
      <c r="Q18" s="37">
        <f>P18-V18</f>
        <v>0.52103846153845934</v>
      </c>
      <c r="T18">
        <v>995</v>
      </c>
      <c r="U18">
        <v>0.73384615384615159</v>
      </c>
      <c r="V18">
        <f>AVERAGE(U:U)-U18</f>
        <v>1.4289615384615404</v>
      </c>
    </row>
    <row r="19" spans="1:22" x14ac:dyDescent="0.25">
      <c r="A19">
        <v>1</v>
      </c>
      <c r="B19">
        <v>18</v>
      </c>
      <c r="C19" s="2">
        <v>0.76899999999999968</v>
      </c>
      <c r="D19" s="41">
        <f t="shared" si="1"/>
        <v>0.28911538461538688</v>
      </c>
      <c r="E19" s="37">
        <f t="shared" si="0"/>
        <v>0.82176886304796737</v>
      </c>
      <c r="F19" s="37">
        <f t="shared" si="2"/>
        <v>0.675304064275149</v>
      </c>
      <c r="O19">
        <v>4</v>
      </c>
      <c r="P19" s="2">
        <v>2.0849999999999995</v>
      </c>
      <c r="Q19" s="37">
        <f>P19-V19</f>
        <v>0.28911538461538688</v>
      </c>
      <c r="T19">
        <v>1004</v>
      </c>
      <c r="U19">
        <v>0.36692307692307935</v>
      </c>
      <c r="V19">
        <f>AVERAGE(U:U)-U19</f>
        <v>1.7958846153846126</v>
      </c>
    </row>
    <row r="20" spans="1:22" x14ac:dyDescent="0.25">
      <c r="A20">
        <v>1</v>
      </c>
      <c r="B20">
        <v>19</v>
      </c>
      <c r="C20" s="2">
        <v>-0.42600000000000016</v>
      </c>
      <c r="D20" s="41">
        <f t="shared" si="1"/>
        <v>0.4665000000000008</v>
      </c>
      <c r="E20" s="37">
        <f t="shared" si="0"/>
        <v>0.6311402082738834</v>
      </c>
      <c r="F20" s="37">
        <f t="shared" si="2"/>
        <v>0.39833796250000092</v>
      </c>
      <c r="O20">
        <v>1</v>
      </c>
      <c r="P20" s="2">
        <v>2.5069999999999997</v>
      </c>
      <c r="Q20" s="37">
        <f>P20-V20</f>
        <v>0.4665000000000008</v>
      </c>
      <c r="T20">
        <v>1010</v>
      </c>
      <c r="U20">
        <v>0.12230769230769312</v>
      </c>
      <c r="V20">
        <f>AVERAGE(U:U)-U20</f>
        <v>2.0404999999999989</v>
      </c>
    </row>
    <row r="21" spans="1:22" x14ac:dyDescent="0.25">
      <c r="A21">
        <v>1</v>
      </c>
      <c r="B21">
        <v>20</v>
      </c>
      <c r="C21" s="2">
        <v>-0.4780000000000002</v>
      </c>
      <c r="D21" s="41">
        <f t="shared" si="1"/>
        <v>0.7351923076923077</v>
      </c>
      <c r="E21" s="37">
        <f t="shared" si="0"/>
        <v>0.8763264338778205</v>
      </c>
      <c r="F21" s="37">
        <f t="shared" si="2"/>
        <v>0.7679480187130181</v>
      </c>
      <c r="O21">
        <v>2</v>
      </c>
      <c r="P21" s="2">
        <v>2.8979999999999997</v>
      </c>
      <c r="Q21" s="37">
        <f>P21-V21</f>
        <v>0.7351923076923077</v>
      </c>
      <c r="T21">
        <v>1013</v>
      </c>
      <c r="U21">
        <v>0</v>
      </c>
      <c r="V21">
        <f>AVERAGE(U:U)-U21</f>
        <v>2.162807692307692</v>
      </c>
    </row>
  </sheetData>
  <sortState ref="O2:Q21">
    <sortCondition ref="P2:P21"/>
  </sortState>
  <mergeCells count="1">
    <mergeCell ref="K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Shot Analysis</vt:lpstr>
      <vt:lpstr>Chronograph Analysis</vt:lpstr>
      <vt:lpstr>Uniformly Adjusted Shots</vt:lpstr>
      <vt:lpstr>Rank Adjusted Shots</vt:lpstr>
      <vt:lpstr>Targets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2014-01-02T19:05:55Z</dcterms:modified>
</cp:coreProperties>
</file>